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ebola\Desktop\MAJ TARIF 2020\OERTLI\"/>
    </mc:Choice>
  </mc:AlternateContent>
  <xr:revisionPtr revIDLastSave="0" documentId="13_ncr:1_{DF7BDC35-3441-4D0D-9FA5-7F0F69D2EE94}" xr6:coauthVersionLast="41" xr6:coauthVersionMax="41" xr10:uidLastSave="{00000000-0000-0000-0000-000000000000}"/>
  <workbookProtection workbookAlgorithmName="SHA-512" workbookHashValue="KZNUGrQ42pBpjxbffJReOsvY6BOuYU++uM6xN9GsqRCG78sevf2gjbkgYAgIKpS88ejfeZ0XuQYYQ/l++pwaoQ==" workbookSaltValue="1w+IP2NUe85jTXVp0s4i8w==" workbookSpinCount="100000" lockStructure="1"/>
  <bookViews>
    <workbookView xWindow="-3330" yWindow="-16320" windowWidth="28095" windowHeight="16440" xr2:uid="{00000000-000D-0000-FFFF-FFFF00000000}"/>
  </bookViews>
  <sheets>
    <sheet name="Notice" sheetId="12" r:id="rId1"/>
    <sheet name="Données" sheetId="3" r:id="rId2"/>
    <sheet name="Coûts énergies" sheetId="5" r:id="rId3"/>
    <sheet name="Résultats" sheetId="6" state="hidden" r:id="rId4"/>
    <sheet name="Chaudières" sheetId="7" state="hidden" r:id="rId5"/>
    <sheet name="Consommations et côuts de prod" sheetId="4" state="hidden" r:id="rId6"/>
    <sheet name="BdD Bâtiment" sheetId="9" state="hidden" r:id="rId7"/>
    <sheet name="BdD Localisation" sheetId="11" state="hidden" r:id="rId8"/>
    <sheet name="Mise à jour" sheetId="8" state="hidden" r:id="rId9"/>
  </sheets>
  <definedNames>
    <definedName name="Altitude">'BdD Localisation'!$AP$5:$AP$17</definedName>
    <definedName name="appoint">'Consommations et côuts de prod'!$B$6:$B$11</definedName>
    <definedName name="APPPOINT">'BdD Bâtiment'!$B$78:$B$81</definedName>
    <definedName name="BTamp">Chaudières!$B$59:$C$70</definedName>
    <definedName name="cchaud">Données!$C$54</definedName>
    <definedName name="cesc">Données!$L$57</definedName>
    <definedName name="cesi">'BdD Bâtiment'!$B$63:$B$64</definedName>
    <definedName name="chargem">Données!$F$62</definedName>
    <definedName name="chaud">'BdD Bâtiment'!$B$71:$B$75</definedName>
    <definedName name="circuit1">'BdD Bâtiment'!$N$12:$N$13</definedName>
    <definedName name="circuit2">'BdD Bâtiment'!$O$12:$O$13</definedName>
    <definedName name="CONSO">'BdD Bâtiment'!$T$34:$U$38</definedName>
    <definedName name="consoecs">'BdD Bâtiment'!$E$27:$E$29</definedName>
    <definedName name="dep">Données!$C$14</definedName>
    <definedName name="Département">'BdD Localisation'!$F$5:$F$100</definedName>
    <definedName name="Deper">Données!$F$39</definedName>
    <definedName name="Eappoint">Résultats!$BI$46</definedName>
    <definedName name="EBois">Résultats!$BI$43</definedName>
    <definedName name="ecs">'BdD Bâtiment'!$J$88:$J$91</definedName>
    <definedName name="ecss">'BdD Bâtiment'!$K$78:$K$81</definedName>
    <definedName name="FT">'BdD Localisation'!$C$130:$BI$206</definedName>
    <definedName name="GAMME">'Consommations et côuts de prod'!$A:$A</definedName>
    <definedName name="Image">OFFSET('Consommations et côuts de prod'!$B$138,('Consommations et côuts de prod'!$B$137-1),0)</definedName>
    <definedName name="modele">'BdD Bâtiment'!$J$87:$J$89</definedName>
    <definedName name="nrjch">Chaudières!$J$38</definedName>
    <definedName name="pbois">Données!$C$83</definedName>
    <definedName name="PDEL">Chaudières!$J$36</definedName>
    <definedName name="pmax">Résultats!$G$69</definedName>
    <definedName name="puip">'BdD Bâtiment'!$B$71:$C$75</definedName>
    <definedName name="SOLAIRE">'BdD Bâtiment'!$B$63:$B$65</definedName>
    <definedName name="TB">Données!$L$14</definedName>
    <definedName name="TCHAUD">'BdD Bâtiment'!$E$78:$E$81</definedName>
    <definedName name="TI">Données!$L$19</definedName>
    <definedName name="typechaud">'BdD Bâtiment'!$I$16:$I$21</definedName>
    <definedName name="typecs">Données!$L$22</definedName>
    <definedName name="TYPEECS">'BdD Bâtiment'!$N$19:$N$20</definedName>
    <definedName name="typeenergie">'BdD Bâtiment'!$C$34:$C$38</definedName>
    <definedName name="unités">'BdD Bâtiment'!$F$34:$F$37</definedName>
    <definedName name="_xlnm.Print_Area" localSheetId="4">Chaudières!$A$4:$G$52</definedName>
    <definedName name="_xlnm.Print_Area" localSheetId="2">'Coûts énergies'!$A$1:$J$64</definedName>
    <definedName name="_xlnm.Print_Area" localSheetId="1">Données!$B$1:$M$164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28" i="4" l="1"/>
  <c r="A129" i="4"/>
  <c r="A130" i="4"/>
  <c r="A131" i="4"/>
  <c r="A127" i="4"/>
  <c r="B137" i="4"/>
  <c r="I86" i="9"/>
  <c r="H86" i="9"/>
  <c r="G86" i="9"/>
  <c r="F86" i="9"/>
  <c r="E86" i="9"/>
  <c r="I8" i="7" l="1"/>
  <c r="H8" i="7"/>
  <c r="F8" i="7"/>
  <c r="H89" i="9"/>
  <c r="H87" i="9"/>
  <c r="I87" i="9"/>
  <c r="I17" i="12" l="1"/>
  <c r="J7" i="12"/>
  <c r="C34" i="6" l="1"/>
  <c r="D34" i="6"/>
  <c r="E34" i="6"/>
  <c r="F34" i="6"/>
  <c r="AY34" i="6"/>
  <c r="AZ34" i="6"/>
  <c r="BA34" i="6"/>
  <c r="BB34" i="6"/>
  <c r="BC34" i="6"/>
  <c r="BD34" i="6"/>
  <c r="BE34" i="6"/>
  <c r="BF34" i="6"/>
  <c r="BG34" i="6"/>
  <c r="BH34" i="6"/>
  <c r="B34" i="6"/>
  <c r="G14" i="7" l="1"/>
  <c r="H14" i="7"/>
  <c r="I14" i="7"/>
  <c r="J14" i="7"/>
  <c r="F14" i="7"/>
  <c r="I6" i="7" l="1"/>
  <c r="F6" i="7"/>
  <c r="E6" i="7"/>
  <c r="C6" i="7"/>
  <c r="B6" i="7"/>
  <c r="F68" i="3" l="1"/>
  <c r="J7" i="7" l="1"/>
  <c r="I7" i="7"/>
  <c r="H7" i="7"/>
  <c r="G7" i="7"/>
  <c r="F7" i="7"/>
  <c r="E7" i="7"/>
  <c r="D7" i="7"/>
  <c r="C7" i="7"/>
  <c r="B7" i="7"/>
  <c r="C36" i="7"/>
  <c r="J35" i="7" s="1"/>
  <c r="J39" i="7" s="1"/>
  <c r="E59" i="7" s="1"/>
  <c r="E61" i="7" s="1"/>
  <c r="I89" i="9"/>
  <c r="G89" i="9"/>
  <c r="G88" i="9"/>
  <c r="F89" i="9"/>
  <c r="E89" i="9"/>
  <c r="E88" i="9"/>
  <c r="J86" i="9"/>
  <c r="C35" i="7" l="1"/>
  <c r="L152" i="3" s="1"/>
  <c r="J87" i="9"/>
  <c r="J89" i="9"/>
  <c r="I152" i="3"/>
  <c r="I81" i="3"/>
  <c r="G81" i="3"/>
  <c r="B30" i="6"/>
  <c r="F39" i="7"/>
  <c r="E39" i="7"/>
  <c r="J88" i="9"/>
  <c r="D39" i="7"/>
  <c r="B27" i="7"/>
  <c r="B28" i="7"/>
  <c r="L151" i="3" l="1"/>
  <c r="D51" i="7"/>
  <c r="E51" i="7"/>
  <c r="F51" i="7"/>
  <c r="J65" i="3"/>
  <c r="F40" i="7"/>
  <c r="H65" i="3"/>
  <c r="E40" i="7"/>
  <c r="D40" i="7"/>
  <c r="F65" i="3"/>
  <c r="J21" i="7"/>
  <c r="I21" i="7"/>
  <c r="J11" i="7"/>
  <c r="I11" i="7"/>
  <c r="J37" i="7" l="1"/>
  <c r="F66" i="3"/>
  <c r="D47" i="7"/>
  <c r="J66" i="3"/>
  <c r="F47" i="7"/>
  <c r="H66" i="3"/>
  <c r="E47" i="7"/>
  <c r="J36" i="7"/>
  <c r="L147" i="3" s="1"/>
  <c r="G21" i="7"/>
  <c r="H21" i="7"/>
  <c r="F21" i="7"/>
  <c r="D41" i="7" s="1"/>
  <c r="F41" i="7" l="1"/>
  <c r="F52" i="7" s="1"/>
  <c r="E41" i="7"/>
  <c r="E50" i="7" s="1"/>
  <c r="G11" i="7"/>
  <c r="H11" i="7"/>
  <c r="F11" i="7"/>
  <c r="E20" i="7"/>
  <c r="E21" i="7"/>
  <c r="B20" i="7"/>
  <c r="C21" i="7"/>
  <c r="D21" i="7"/>
  <c r="D20" i="7"/>
  <c r="C20" i="7"/>
  <c r="B21" i="7"/>
  <c r="L54" i="3"/>
  <c r="J38" i="7" l="1"/>
  <c r="G68" i="6" s="1"/>
  <c r="E52" i="7"/>
  <c r="F50" i="7"/>
  <c r="B24" i="7"/>
  <c r="B25" i="7"/>
  <c r="B26" i="7"/>
  <c r="C26" i="7"/>
  <c r="C25" i="7"/>
  <c r="C28" i="7"/>
  <c r="C27" i="7"/>
  <c r="C24" i="7"/>
  <c r="D27" i="7"/>
  <c r="D26" i="7"/>
  <c r="D24" i="7"/>
  <c r="D25" i="7"/>
  <c r="D28" i="7"/>
  <c r="E27" i="7"/>
  <c r="E26" i="7"/>
  <c r="E24" i="7"/>
  <c r="E25" i="7"/>
  <c r="E28" i="7"/>
  <c r="C48" i="3"/>
  <c r="D52" i="7" l="1"/>
  <c r="D50" i="7"/>
  <c r="D52" i="4"/>
  <c r="L148" i="3" l="1"/>
  <c r="L78" i="9"/>
  <c r="C81" i="9"/>
  <c r="E12" i="4" s="1"/>
  <c r="BA24" i="6"/>
  <c r="BA25" i="6" s="1"/>
  <c r="BA29" i="6" s="1"/>
  <c r="BA31" i="6" s="1"/>
  <c r="K80" i="9"/>
  <c r="B37" i="6"/>
  <c r="C12" i="6"/>
  <c r="D12" i="6"/>
  <c r="E12" i="6"/>
  <c r="F12" i="6"/>
  <c r="B12" i="6"/>
  <c r="C35" i="6"/>
  <c r="D35" i="6"/>
  <c r="E35" i="6"/>
  <c r="F35" i="6"/>
  <c r="AY35" i="6"/>
  <c r="AZ35" i="6"/>
  <c r="BA35" i="6"/>
  <c r="BB35" i="6"/>
  <c r="BC35" i="6"/>
  <c r="BD35" i="6"/>
  <c r="BE35" i="6"/>
  <c r="BF35" i="6"/>
  <c r="BG35" i="6"/>
  <c r="BH35" i="6"/>
  <c r="B35" i="6"/>
  <c r="BH36" i="6" l="1"/>
  <c r="BG36" i="6"/>
  <c r="BF36" i="6"/>
  <c r="BE36" i="6"/>
  <c r="BD36" i="6"/>
  <c r="BC36" i="6"/>
  <c r="BB36" i="6"/>
  <c r="BA36" i="6"/>
  <c r="AZ36" i="6"/>
  <c r="AY36" i="6"/>
  <c r="F36" i="6"/>
  <c r="E36" i="6"/>
  <c r="D36" i="6"/>
  <c r="C36" i="6"/>
  <c r="B36" i="6"/>
  <c r="C11" i="6"/>
  <c r="D11" i="6"/>
  <c r="E11" i="6"/>
  <c r="F11" i="6"/>
  <c r="B11" i="6"/>
  <c r="C13" i="6"/>
  <c r="D13" i="6"/>
  <c r="D14" i="6" s="1"/>
  <c r="D15" i="6" s="1"/>
  <c r="F13" i="6"/>
  <c r="B13" i="6"/>
  <c r="E13" i="6"/>
  <c r="E14" i="6" s="1"/>
  <c r="E15" i="6" s="1"/>
  <c r="BE24" i="6"/>
  <c r="BE25" i="6" s="1"/>
  <c r="BE29" i="6" s="1"/>
  <c r="BE31" i="6" s="1"/>
  <c r="BF24" i="6"/>
  <c r="BF25" i="6" s="1"/>
  <c r="BF29" i="6" s="1"/>
  <c r="BF31" i="6" s="1"/>
  <c r="BG24" i="6"/>
  <c r="BG25" i="6" s="1"/>
  <c r="BG29" i="6" s="1"/>
  <c r="BG31" i="6" s="1"/>
  <c r="BH24" i="6"/>
  <c r="BH25" i="6" s="1"/>
  <c r="BH29" i="6" s="1"/>
  <c r="BH31" i="6" s="1"/>
  <c r="BE33" i="6"/>
  <c r="BE37" i="6" s="1"/>
  <c r="BF33" i="6"/>
  <c r="BG33" i="6"/>
  <c r="BH33" i="6"/>
  <c r="BF37" i="6"/>
  <c r="BH37" i="6"/>
  <c r="BE42" i="6"/>
  <c r="BF42" i="6"/>
  <c r="BG42" i="6"/>
  <c r="BH42" i="6"/>
  <c r="BH7" i="6"/>
  <c r="BH11" i="6" s="1"/>
  <c r="BG7" i="6"/>
  <c r="BF7" i="6"/>
  <c r="H7" i="6"/>
  <c r="H11" i="6" s="1"/>
  <c r="I7" i="6"/>
  <c r="I11" i="6" s="1"/>
  <c r="J7" i="6"/>
  <c r="J11" i="6" s="1"/>
  <c r="K7" i="6"/>
  <c r="L7" i="6"/>
  <c r="L11" i="6" s="1"/>
  <c r="M7" i="6"/>
  <c r="M11" i="6" s="1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E11" i="6" s="1"/>
  <c r="G7" i="6"/>
  <c r="A11" i="6"/>
  <c r="C24" i="6"/>
  <c r="C25" i="6" s="1"/>
  <c r="C29" i="6" s="1"/>
  <c r="C31" i="6" s="1"/>
  <c r="D24" i="6"/>
  <c r="D25" i="6" s="1"/>
  <c r="D29" i="6" s="1"/>
  <c r="D31" i="6" s="1"/>
  <c r="E24" i="6"/>
  <c r="E25" i="6" s="1"/>
  <c r="E29" i="6" s="1"/>
  <c r="E31" i="6" s="1"/>
  <c r="F24" i="6"/>
  <c r="F25" i="6" s="1"/>
  <c r="F29" i="6" s="1"/>
  <c r="F31" i="6" s="1"/>
  <c r="AY24" i="6"/>
  <c r="AY25" i="6" s="1"/>
  <c r="AY29" i="6" s="1"/>
  <c r="AY31" i="6" s="1"/>
  <c r="AZ24" i="6"/>
  <c r="AZ25" i="6" s="1"/>
  <c r="AZ29" i="6" s="1"/>
  <c r="AZ31" i="6" s="1"/>
  <c r="BB24" i="6"/>
  <c r="BB25" i="6" s="1"/>
  <c r="BB29" i="6" s="1"/>
  <c r="BB31" i="6" s="1"/>
  <c r="BC24" i="6"/>
  <c r="BC25" i="6" s="1"/>
  <c r="BC29" i="6" s="1"/>
  <c r="BC31" i="6" s="1"/>
  <c r="BD24" i="6"/>
  <c r="BD25" i="6" s="1"/>
  <c r="BD29" i="6" s="1"/>
  <c r="BD31" i="6" s="1"/>
  <c r="B108" i="4"/>
  <c r="B109" i="4"/>
  <c r="B110" i="4"/>
  <c r="B111" i="4"/>
  <c r="B107" i="4"/>
  <c r="N23" i="6"/>
  <c r="N24" i="6" l="1"/>
  <c r="N25" i="6" s="1"/>
  <c r="N29" i="6" s="1"/>
  <c r="N31" i="6" s="1"/>
  <c r="B14" i="6"/>
  <c r="B15" i="6" s="1"/>
  <c r="BH43" i="6"/>
  <c r="BH46" i="6"/>
  <c r="BF43" i="6"/>
  <c r="BF46" i="6"/>
  <c r="BE43" i="6"/>
  <c r="BE46" i="6"/>
  <c r="K12" i="6"/>
  <c r="K13" i="6" s="1"/>
  <c r="K14" i="6" s="1"/>
  <c r="BF12" i="6"/>
  <c r="BF13" i="6" s="1"/>
  <c r="G12" i="6"/>
  <c r="G13" i="6" s="1"/>
  <c r="J12" i="6"/>
  <c r="J13" i="6" s="1"/>
  <c r="BG12" i="6"/>
  <c r="BG13" i="6" s="1"/>
  <c r="BE12" i="6"/>
  <c r="BE13" i="6" s="1"/>
  <c r="BE14" i="6" s="1"/>
  <c r="BE15" i="6" s="1"/>
  <c r="M12" i="6"/>
  <c r="M13" i="6" s="1"/>
  <c r="M14" i="6" s="1"/>
  <c r="M15" i="6" s="1"/>
  <c r="I12" i="6"/>
  <c r="I13" i="6" s="1"/>
  <c r="I14" i="6" s="1"/>
  <c r="I15" i="6" s="1"/>
  <c r="BH12" i="6"/>
  <c r="BH13" i="6" s="1"/>
  <c r="BG11" i="6"/>
  <c r="L12" i="6"/>
  <c r="L13" i="6" s="1"/>
  <c r="L14" i="6" s="1"/>
  <c r="L15" i="6" s="1"/>
  <c r="H12" i="6"/>
  <c r="H13" i="6" s="1"/>
  <c r="H14" i="6" s="1"/>
  <c r="H15" i="6" s="1"/>
  <c r="BI7" i="6"/>
  <c r="BF11" i="6"/>
  <c r="K11" i="6"/>
  <c r="G11" i="6"/>
  <c r="F14" i="6"/>
  <c r="C14" i="6"/>
  <c r="BG37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J14" i="6" l="1"/>
  <c r="J15" i="6" s="1"/>
  <c r="BG46" i="6"/>
  <c r="BG43" i="6"/>
  <c r="BH14" i="6"/>
  <c r="BH15" i="6" s="1"/>
  <c r="BG14" i="6"/>
  <c r="BG15" i="6" s="1"/>
  <c r="BF14" i="6"/>
  <c r="BF15" i="6" s="1"/>
  <c r="G14" i="6"/>
  <c r="G15" i="6" s="1"/>
  <c r="C15" i="6"/>
  <c r="K15" i="6"/>
  <c r="F15" i="6"/>
  <c r="C37" i="6"/>
  <c r="D37" i="6"/>
  <c r="E37" i="6"/>
  <c r="F37" i="6"/>
  <c r="AY37" i="6"/>
  <c r="AZ37" i="6"/>
  <c r="BA37" i="6"/>
  <c r="BB37" i="6"/>
  <c r="BC37" i="6"/>
  <c r="BD37" i="6"/>
  <c r="D41" i="4"/>
  <c r="E41" i="4"/>
  <c r="F41" i="4"/>
  <c r="G41" i="4"/>
  <c r="H41" i="4"/>
  <c r="I41" i="4"/>
  <c r="J41" i="4"/>
  <c r="K41" i="4"/>
  <c r="C41" i="4"/>
  <c r="J42" i="4"/>
  <c r="H42" i="4"/>
  <c r="G42" i="4"/>
  <c r="F42" i="4"/>
  <c r="E42" i="4"/>
  <c r="D42" i="4"/>
  <c r="C82" i="9"/>
  <c r="C86" i="9" s="1"/>
  <c r="I42" i="4" l="1"/>
  <c r="K42" i="4"/>
  <c r="BA46" i="6"/>
  <c r="BA43" i="6"/>
  <c r="E43" i="6"/>
  <c r="E46" i="6"/>
  <c r="BD43" i="6"/>
  <c r="BD46" i="6"/>
  <c r="AZ46" i="6"/>
  <c r="AZ43" i="6"/>
  <c r="D43" i="6"/>
  <c r="D46" i="6"/>
  <c r="BC46" i="6"/>
  <c r="BC43" i="6"/>
  <c r="AY46" i="6"/>
  <c r="AY43" i="6"/>
  <c r="C46" i="6"/>
  <c r="C43" i="6"/>
  <c r="BB46" i="6"/>
  <c r="BB43" i="6"/>
  <c r="F43" i="6"/>
  <c r="F46" i="6"/>
  <c r="AI100" i="11"/>
  <c r="M100" i="11"/>
  <c r="K100" i="11" s="1"/>
  <c r="L100" i="11"/>
  <c r="F100" i="11"/>
  <c r="AI99" i="11"/>
  <c r="M99" i="11"/>
  <c r="K99" i="11" s="1"/>
  <c r="L99" i="11"/>
  <c r="F99" i="11"/>
  <c r="AI98" i="11"/>
  <c r="M98" i="11"/>
  <c r="K98" i="11" s="1"/>
  <c r="L98" i="11"/>
  <c r="F98" i="11"/>
  <c r="AI97" i="11"/>
  <c r="M97" i="11"/>
  <c r="L97" i="11"/>
  <c r="K97" i="11"/>
  <c r="F97" i="11"/>
  <c r="AI96" i="11"/>
  <c r="M96" i="11"/>
  <c r="L96" i="11"/>
  <c r="K96" i="11"/>
  <c r="F96" i="11"/>
  <c r="AI95" i="11"/>
  <c r="M95" i="11"/>
  <c r="K95" i="11" s="1"/>
  <c r="L95" i="11"/>
  <c r="F95" i="11"/>
  <c r="AI94" i="11"/>
  <c r="M94" i="11"/>
  <c r="K94" i="11" s="1"/>
  <c r="L94" i="11"/>
  <c r="F94" i="11"/>
  <c r="AI93" i="11"/>
  <c r="M93" i="11"/>
  <c r="L93" i="11"/>
  <c r="K93" i="11"/>
  <c r="F93" i="11"/>
  <c r="AI92" i="11"/>
  <c r="M92" i="11"/>
  <c r="L92" i="11"/>
  <c r="K92" i="11"/>
  <c r="F92" i="11"/>
  <c r="AI91" i="11"/>
  <c r="M91" i="11"/>
  <c r="K91" i="11" s="1"/>
  <c r="L91" i="11"/>
  <c r="F91" i="11"/>
  <c r="AI90" i="11"/>
  <c r="M90" i="11"/>
  <c r="K90" i="11" s="1"/>
  <c r="L90" i="11"/>
  <c r="F90" i="11"/>
  <c r="AI89" i="11"/>
  <c r="M89" i="11"/>
  <c r="L89" i="11"/>
  <c r="K89" i="11"/>
  <c r="F89" i="11"/>
  <c r="AI88" i="11"/>
  <c r="M88" i="11"/>
  <c r="L88" i="11"/>
  <c r="K88" i="11"/>
  <c r="F88" i="11"/>
  <c r="AI87" i="11"/>
  <c r="M87" i="11"/>
  <c r="K87" i="11" s="1"/>
  <c r="L87" i="11"/>
  <c r="F87" i="11"/>
  <c r="AI86" i="11"/>
  <c r="M86" i="11"/>
  <c r="K86" i="11" s="1"/>
  <c r="L86" i="11"/>
  <c r="F86" i="11"/>
  <c r="AI85" i="11"/>
  <c r="M85" i="11"/>
  <c r="L85" i="11"/>
  <c r="K85" i="11"/>
  <c r="F85" i="11"/>
  <c r="AI84" i="11"/>
  <c r="M84" i="11"/>
  <c r="L84" i="11"/>
  <c r="K84" i="11"/>
  <c r="F84" i="11"/>
  <c r="AI83" i="11"/>
  <c r="M83" i="11"/>
  <c r="K83" i="11" s="1"/>
  <c r="L83" i="11"/>
  <c r="F83" i="11"/>
  <c r="AI82" i="11"/>
  <c r="M82" i="11"/>
  <c r="K82" i="11" s="1"/>
  <c r="L82" i="11"/>
  <c r="F82" i="11"/>
  <c r="AI81" i="11"/>
  <c r="M81" i="11"/>
  <c r="L81" i="11"/>
  <c r="K81" i="11"/>
  <c r="F81" i="11"/>
  <c r="AI80" i="11"/>
  <c r="M80" i="11"/>
  <c r="L80" i="11"/>
  <c r="K80" i="11"/>
  <c r="F80" i="11"/>
  <c r="AI79" i="11"/>
  <c r="M79" i="11"/>
  <c r="K79" i="11" s="1"/>
  <c r="L79" i="11"/>
  <c r="F79" i="11"/>
  <c r="AI78" i="11"/>
  <c r="M78" i="11"/>
  <c r="K78" i="11" s="1"/>
  <c r="L78" i="11"/>
  <c r="F78" i="11"/>
  <c r="AI77" i="11"/>
  <c r="M77" i="11"/>
  <c r="L77" i="11"/>
  <c r="K77" i="11"/>
  <c r="F77" i="11"/>
  <c r="AI76" i="11"/>
  <c r="M76" i="11"/>
  <c r="L76" i="11"/>
  <c r="K76" i="11"/>
  <c r="F76" i="11"/>
  <c r="AI75" i="11"/>
  <c r="M75" i="11"/>
  <c r="K75" i="11" s="1"/>
  <c r="L75" i="11"/>
  <c r="F75" i="11"/>
  <c r="AI74" i="11"/>
  <c r="M74" i="11"/>
  <c r="K74" i="11" s="1"/>
  <c r="L74" i="11"/>
  <c r="F74" i="11"/>
  <c r="AI73" i="11"/>
  <c r="M73" i="11"/>
  <c r="L73" i="11"/>
  <c r="K73" i="11"/>
  <c r="F73" i="11"/>
  <c r="AI72" i="11"/>
  <c r="M72" i="11"/>
  <c r="L72" i="11"/>
  <c r="K72" i="11"/>
  <c r="F72" i="11"/>
  <c r="AI71" i="11"/>
  <c r="M71" i="11"/>
  <c r="K71" i="11" s="1"/>
  <c r="L71" i="11"/>
  <c r="F71" i="11"/>
  <c r="AI70" i="11"/>
  <c r="M70" i="11"/>
  <c r="K70" i="11" s="1"/>
  <c r="L70" i="11"/>
  <c r="F70" i="11"/>
  <c r="AI69" i="11"/>
  <c r="M69" i="11"/>
  <c r="L69" i="11"/>
  <c r="K69" i="11"/>
  <c r="F69" i="11"/>
  <c r="AI68" i="11"/>
  <c r="M68" i="11"/>
  <c r="L68" i="11"/>
  <c r="K68" i="11"/>
  <c r="F68" i="11"/>
  <c r="AI67" i="11"/>
  <c r="M67" i="11"/>
  <c r="K67" i="11" s="1"/>
  <c r="L67" i="11"/>
  <c r="F67" i="11"/>
  <c r="AI66" i="11"/>
  <c r="M66" i="11"/>
  <c r="K66" i="11" s="1"/>
  <c r="L66" i="11"/>
  <c r="F66" i="11"/>
  <c r="AI65" i="11"/>
  <c r="M65" i="11"/>
  <c r="L65" i="11"/>
  <c r="K65" i="11"/>
  <c r="F65" i="11"/>
  <c r="AI64" i="11"/>
  <c r="M64" i="11"/>
  <c r="L64" i="11"/>
  <c r="K64" i="11"/>
  <c r="F64" i="11"/>
  <c r="AI63" i="11"/>
  <c r="M63" i="11"/>
  <c r="K63" i="11" s="1"/>
  <c r="L63" i="11"/>
  <c r="F63" i="11"/>
  <c r="AI62" i="11"/>
  <c r="M62" i="11"/>
  <c r="K62" i="11" s="1"/>
  <c r="L62" i="11"/>
  <c r="F62" i="11"/>
  <c r="AI61" i="11"/>
  <c r="M61" i="11"/>
  <c r="L61" i="11"/>
  <c r="K61" i="11"/>
  <c r="F61" i="11"/>
  <c r="AI60" i="11"/>
  <c r="M60" i="11"/>
  <c r="L60" i="11"/>
  <c r="K60" i="11"/>
  <c r="F60" i="11"/>
  <c r="AI59" i="11"/>
  <c r="M59" i="11"/>
  <c r="K59" i="11" s="1"/>
  <c r="L59" i="11"/>
  <c r="F59" i="11"/>
  <c r="AI58" i="11"/>
  <c r="M58" i="11"/>
  <c r="K58" i="11" s="1"/>
  <c r="L58" i="11"/>
  <c r="F58" i="11"/>
  <c r="AI57" i="11"/>
  <c r="M57" i="11"/>
  <c r="L57" i="11"/>
  <c r="K57" i="11"/>
  <c r="F57" i="11"/>
  <c r="AI56" i="11"/>
  <c r="M56" i="11"/>
  <c r="L56" i="11"/>
  <c r="K56" i="11"/>
  <c r="F56" i="11"/>
  <c r="AI55" i="11"/>
  <c r="M55" i="11"/>
  <c r="K55" i="11" s="1"/>
  <c r="L55" i="11"/>
  <c r="F55" i="11"/>
  <c r="AI54" i="11"/>
  <c r="M54" i="11"/>
  <c r="K54" i="11" s="1"/>
  <c r="L54" i="11"/>
  <c r="F54" i="11"/>
  <c r="AI53" i="11"/>
  <c r="M53" i="11"/>
  <c r="L53" i="11"/>
  <c r="K53" i="11"/>
  <c r="F53" i="11"/>
  <c r="AI52" i="11"/>
  <c r="M52" i="11"/>
  <c r="L52" i="11"/>
  <c r="K52" i="11"/>
  <c r="F52" i="11"/>
  <c r="AI51" i="11"/>
  <c r="M51" i="11"/>
  <c r="K51" i="11" s="1"/>
  <c r="L51" i="11"/>
  <c r="F51" i="11"/>
  <c r="AI50" i="11"/>
  <c r="M50" i="11"/>
  <c r="K50" i="11" s="1"/>
  <c r="L50" i="11"/>
  <c r="F50" i="11"/>
  <c r="AI49" i="11"/>
  <c r="M49" i="11"/>
  <c r="L49" i="11"/>
  <c r="K49" i="11"/>
  <c r="F49" i="11"/>
  <c r="AI48" i="11"/>
  <c r="M48" i="11"/>
  <c r="L48" i="11"/>
  <c r="K48" i="11"/>
  <c r="F48" i="11"/>
  <c r="AI47" i="11"/>
  <c r="M47" i="11"/>
  <c r="K47" i="11" s="1"/>
  <c r="L47" i="11"/>
  <c r="F47" i="11"/>
  <c r="AI46" i="11"/>
  <c r="M46" i="11"/>
  <c r="K46" i="11" s="1"/>
  <c r="L46" i="11"/>
  <c r="F46" i="11"/>
  <c r="AI45" i="11"/>
  <c r="M45" i="11"/>
  <c r="L45" i="11"/>
  <c r="K45" i="11"/>
  <c r="F45" i="11"/>
  <c r="AI44" i="11"/>
  <c r="M44" i="11"/>
  <c r="L44" i="11"/>
  <c r="K44" i="11"/>
  <c r="F44" i="11"/>
  <c r="AI43" i="11"/>
  <c r="M43" i="11"/>
  <c r="K43" i="11" s="1"/>
  <c r="L43" i="11"/>
  <c r="F43" i="11"/>
  <c r="AI42" i="11"/>
  <c r="M42" i="11"/>
  <c r="K42" i="11" s="1"/>
  <c r="L42" i="11"/>
  <c r="F42" i="11"/>
  <c r="AI41" i="11"/>
  <c r="M41" i="11"/>
  <c r="L41" i="11"/>
  <c r="K41" i="11"/>
  <c r="F41" i="11"/>
  <c r="AI40" i="11"/>
  <c r="M40" i="11"/>
  <c r="L40" i="11"/>
  <c r="K40" i="11"/>
  <c r="F40" i="11"/>
  <c r="AI39" i="11"/>
  <c r="M39" i="11"/>
  <c r="K39" i="11" s="1"/>
  <c r="L39" i="11"/>
  <c r="F39" i="11"/>
  <c r="AI38" i="11"/>
  <c r="M38" i="11"/>
  <c r="K38" i="11" s="1"/>
  <c r="L38" i="11"/>
  <c r="F38" i="11"/>
  <c r="AI37" i="11"/>
  <c r="M37" i="11"/>
  <c r="L37" i="11"/>
  <c r="K37" i="11"/>
  <c r="F37" i="11"/>
  <c r="AI36" i="11"/>
  <c r="M36" i="11"/>
  <c r="L36" i="11"/>
  <c r="K36" i="11"/>
  <c r="F36" i="11"/>
  <c r="AI35" i="11"/>
  <c r="M35" i="11"/>
  <c r="K35" i="11" s="1"/>
  <c r="L35" i="11"/>
  <c r="F35" i="11"/>
  <c r="AI34" i="11"/>
  <c r="M34" i="11"/>
  <c r="K34" i="11" s="1"/>
  <c r="L34" i="11"/>
  <c r="F34" i="11"/>
  <c r="AI33" i="11"/>
  <c r="M33" i="11"/>
  <c r="L33" i="11"/>
  <c r="K33" i="11"/>
  <c r="F33" i="11"/>
  <c r="AI32" i="11"/>
  <c r="M32" i="11"/>
  <c r="L32" i="11"/>
  <c r="K32" i="11"/>
  <c r="F32" i="11"/>
  <c r="AI31" i="11"/>
  <c r="M31" i="11"/>
  <c r="K31" i="11" s="1"/>
  <c r="L31" i="11"/>
  <c r="F31" i="11"/>
  <c r="AI30" i="11"/>
  <c r="M30" i="11"/>
  <c r="K30" i="11" s="1"/>
  <c r="L30" i="11"/>
  <c r="F30" i="11"/>
  <c r="AI29" i="11"/>
  <c r="M29" i="11"/>
  <c r="L29" i="11"/>
  <c r="K29" i="11"/>
  <c r="F29" i="11"/>
  <c r="AI28" i="11"/>
  <c r="M28" i="11"/>
  <c r="L28" i="11"/>
  <c r="K28" i="11"/>
  <c r="F28" i="11"/>
  <c r="AI27" i="11"/>
  <c r="M27" i="11"/>
  <c r="K27" i="11" s="1"/>
  <c r="L27" i="11"/>
  <c r="F27" i="11"/>
  <c r="AI26" i="11"/>
  <c r="M26" i="11"/>
  <c r="K26" i="11" s="1"/>
  <c r="L26" i="11"/>
  <c r="F26" i="11"/>
  <c r="AI25" i="11"/>
  <c r="M25" i="11"/>
  <c r="L25" i="11"/>
  <c r="K25" i="11"/>
  <c r="F25" i="11"/>
  <c r="AI24" i="11"/>
  <c r="M24" i="11"/>
  <c r="L24" i="11"/>
  <c r="K24" i="11"/>
  <c r="F24" i="11"/>
  <c r="AI23" i="11"/>
  <c r="M23" i="11"/>
  <c r="K23" i="11" s="1"/>
  <c r="L23" i="11"/>
  <c r="F23" i="11"/>
  <c r="AI22" i="11"/>
  <c r="M22" i="11"/>
  <c r="K22" i="11" s="1"/>
  <c r="L22" i="11"/>
  <c r="F22" i="11"/>
  <c r="AI21" i="11"/>
  <c r="M21" i="11"/>
  <c r="L21" i="11"/>
  <c r="K21" i="11"/>
  <c r="F21" i="11"/>
  <c r="AI20" i="11"/>
  <c r="M20" i="11"/>
  <c r="L20" i="11"/>
  <c r="K20" i="11"/>
  <c r="F20" i="11"/>
  <c r="AI19" i="11"/>
  <c r="M19" i="11"/>
  <c r="K19" i="11" s="1"/>
  <c r="L19" i="11"/>
  <c r="F19" i="11"/>
  <c r="AI18" i="11"/>
  <c r="M18" i="11"/>
  <c r="K18" i="11" s="1"/>
  <c r="L18" i="11"/>
  <c r="F18" i="11"/>
  <c r="AI17" i="11"/>
  <c r="M17" i="11"/>
  <c r="L17" i="11"/>
  <c r="K17" i="11"/>
  <c r="F17" i="11"/>
  <c r="AI16" i="11"/>
  <c r="M16" i="11"/>
  <c r="L16" i="11"/>
  <c r="K16" i="11"/>
  <c r="F16" i="11"/>
  <c r="AI15" i="11"/>
  <c r="M15" i="11"/>
  <c r="K15" i="11" s="1"/>
  <c r="L15" i="11"/>
  <c r="F15" i="11"/>
  <c r="AI14" i="11"/>
  <c r="M14" i="11"/>
  <c r="K14" i="11" s="1"/>
  <c r="L14" i="11"/>
  <c r="F14" i="11"/>
  <c r="AI13" i="11"/>
  <c r="M13" i="11"/>
  <c r="L13" i="11"/>
  <c r="K13" i="11"/>
  <c r="F13" i="11"/>
  <c r="AI12" i="11"/>
  <c r="M12" i="11"/>
  <c r="L12" i="11"/>
  <c r="K12" i="11"/>
  <c r="F12" i="11"/>
  <c r="AI11" i="11"/>
  <c r="M11" i="11"/>
  <c r="K11" i="11" s="1"/>
  <c r="L11" i="11"/>
  <c r="F11" i="11"/>
  <c r="AI10" i="11"/>
  <c r="M10" i="11"/>
  <c r="K10" i="11" s="1"/>
  <c r="L10" i="11"/>
  <c r="F10" i="11"/>
  <c r="AI9" i="11"/>
  <c r="M9" i="11"/>
  <c r="L9" i="11"/>
  <c r="K9" i="11"/>
  <c r="F9" i="11"/>
  <c r="AI8" i="11"/>
  <c r="M8" i="11"/>
  <c r="L8" i="11"/>
  <c r="K8" i="11"/>
  <c r="F8" i="11"/>
  <c r="AI7" i="11"/>
  <c r="M7" i="11"/>
  <c r="K7" i="11" s="1"/>
  <c r="L7" i="11"/>
  <c r="F7" i="11"/>
  <c r="AI6" i="11"/>
  <c r="M6" i="11"/>
  <c r="K6" i="11" s="1"/>
  <c r="L6" i="11"/>
  <c r="F6" i="11"/>
  <c r="AI5" i="11"/>
  <c r="M5" i="11"/>
  <c r="L5" i="11"/>
  <c r="K5" i="11"/>
  <c r="F5" i="11"/>
  <c r="AQ4" i="11"/>
  <c r="AR5" i="11" s="1"/>
  <c r="M78" i="9"/>
  <c r="C64" i="9"/>
  <c r="D63" i="9"/>
  <c r="D66" i="9" s="1"/>
  <c r="C63" i="9"/>
  <c r="C52" i="9"/>
  <c r="C47" i="9"/>
  <c r="F43" i="9"/>
  <c r="B45" i="9" s="1"/>
  <c r="O36" i="9"/>
  <c r="O35" i="9"/>
  <c r="Q35" i="9" s="1"/>
  <c r="O34" i="9"/>
  <c r="Q34" i="9" s="1"/>
  <c r="I28" i="9"/>
  <c r="B9" i="6" s="1"/>
  <c r="M27" i="9"/>
  <c r="I27" i="9"/>
  <c r="F17" i="9"/>
  <c r="L16" i="9"/>
  <c r="C13" i="9"/>
  <c r="C12" i="9"/>
  <c r="F11" i="9"/>
  <c r="C11" i="9"/>
  <c r="C5" i="9"/>
  <c r="C4" i="9"/>
  <c r="G123" i="4"/>
  <c r="F123" i="4"/>
  <c r="G122" i="4"/>
  <c r="F122" i="4"/>
  <c r="C121" i="4"/>
  <c r="C99" i="4"/>
  <c r="C98" i="4"/>
  <c r="K111" i="4"/>
  <c r="K107" i="4"/>
  <c r="G12" i="4"/>
  <c r="G9" i="4"/>
  <c r="K109" i="4" s="1"/>
  <c r="G8" i="4"/>
  <c r="G7" i="4"/>
  <c r="G6" i="4"/>
  <c r="M79" i="9" s="1"/>
  <c r="D6" i="4"/>
  <c r="BE88" i="6"/>
  <c r="BD88" i="6"/>
  <c r="BC88" i="6"/>
  <c r="BB88" i="6"/>
  <c r="BA88" i="6"/>
  <c r="AZ88" i="6"/>
  <c r="AY88" i="6"/>
  <c r="F88" i="6"/>
  <c r="E88" i="6"/>
  <c r="D88" i="6"/>
  <c r="C88" i="6"/>
  <c r="B88" i="6"/>
  <c r="F80" i="6"/>
  <c r="O73" i="6"/>
  <c r="M73" i="6"/>
  <c r="K73" i="6"/>
  <c r="I73" i="6"/>
  <c r="G73" i="6"/>
  <c r="G67" i="6"/>
  <c r="G69" i="6" s="1"/>
  <c r="BD42" i="6"/>
  <c r="BC42" i="6"/>
  <c r="BB42" i="6"/>
  <c r="BA42" i="6"/>
  <c r="AZ42" i="6"/>
  <c r="AY42" i="6"/>
  <c r="F42" i="6"/>
  <c r="E42" i="6"/>
  <c r="D42" i="6"/>
  <c r="C42" i="6"/>
  <c r="B42" i="6"/>
  <c r="B27" i="6"/>
  <c r="B40" i="6" s="1"/>
  <c r="B39" i="6" s="1"/>
  <c r="AX23" i="6"/>
  <c r="AX34" i="6" s="1"/>
  <c r="AW23" i="6"/>
  <c r="AW34" i="6" s="1"/>
  <c r="AV23" i="6"/>
  <c r="AV34" i="6" s="1"/>
  <c r="AU23" i="6"/>
  <c r="AU34" i="6" s="1"/>
  <c r="AT23" i="6"/>
  <c r="AT34" i="6" s="1"/>
  <c r="AS23" i="6"/>
  <c r="AS34" i="6" s="1"/>
  <c r="AR23" i="6"/>
  <c r="AR34" i="6" s="1"/>
  <c r="AQ23" i="6"/>
  <c r="AQ34" i="6" s="1"/>
  <c r="AP23" i="6"/>
  <c r="AO23" i="6"/>
  <c r="AN23" i="6"/>
  <c r="AM23" i="6"/>
  <c r="AM34" i="6" s="1"/>
  <c r="AL23" i="6"/>
  <c r="AK23" i="6"/>
  <c r="AJ23" i="6"/>
  <c r="AI23" i="6"/>
  <c r="AI34" i="6" s="1"/>
  <c r="AH23" i="6"/>
  <c r="AG23" i="6"/>
  <c r="AF23" i="6"/>
  <c r="AE23" i="6"/>
  <c r="AE34" i="6" s="1"/>
  <c r="AD23" i="6"/>
  <c r="AC23" i="6"/>
  <c r="AC34" i="6" s="1"/>
  <c r="AB23" i="6"/>
  <c r="AA23" i="6"/>
  <c r="AA34" i="6" s="1"/>
  <c r="Z23" i="6"/>
  <c r="Y23" i="6"/>
  <c r="X23" i="6"/>
  <c r="W23" i="6"/>
  <c r="W34" i="6" s="1"/>
  <c r="V23" i="6"/>
  <c r="U23" i="6"/>
  <c r="T23" i="6"/>
  <c r="S23" i="6"/>
  <c r="S34" i="6" s="1"/>
  <c r="R23" i="6"/>
  <c r="Q23" i="6"/>
  <c r="P23" i="6"/>
  <c r="O23" i="6"/>
  <c r="O34" i="6" s="1"/>
  <c r="M23" i="6"/>
  <c r="M34" i="6" s="1"/>
  <c r="L23" i="6"/>
  <c r="L34" i="6" s="1"/>
  <c r="K23" i="6"/>
  <c r="K34" i="6" s="1"/>
  <c r="J23" i="6"/>
  <c r="J34" i="6" s="1"/>
  <c r="I23" i="6"/>
  <c r="I34" i="6" s="1"/>
  <c r="H23" i="6"/>
  <c r="H34" i="6" s="1"/>
  <c r="G23" i="6"/>
  <c r="G34" i="6" s="1"/>
  <c r="J5" i="5"/>
  <c r="L146" i="3"/>
  <c r="D87" i="3"/>
  <c r="N46" i="3"/>
  <c r="O46" i="3" s="1"/>
  <c r="F54" i="3"/>
  <c r="D36" i="3"/>
  <c r="D26" i="3"/>
  <c r="M10" i="3"/>
  <c r="P34" i="6" l="1"/>
  <c r="T34" i="6"/>
  <c r="X34" i="6"/>
  <c r="AB34" i="6"/>
  <c r="AF34" i="6"/>
  <c r="AJ34" i="6"/>
  <c r="AN34" i="6"/>
  <c r="Q34" i="6"/>
  <c r="U34" i="6"/>
  <c r="Y34" i="6"/>
  <c r="AG34" i="6"/>
  <c r="AK34" i="6"/>
  <c r="AO34" i="6"/>
  <c r="R34" i="6"/>
  <c r="V34" i="6"/>
  <c r="Z34" i="6"/>
  <c r="AD34" i="6"/>
  <c r="AH34" i="6"/>
  <c r="AL34" i="6"/>
  <c r="AP34" i="6"/>
  <c r="H81" i="3"/>
  <c r="N34" i="6"/>
  <c r="BE44" i="6"/>
  <c r="BE45" i="6" s="1"/>
  <c r="C66" i="9"/>
  <c r="E35" i="9"/>
  <c r="G35" i="9" s="1"/>
  <c r="F18" i="9"/>
  <c r="G110" i="4"/>
  <c r="G109" i="4"/>
  <c r="D9" i="6"/>
  <c r="T9" i="6"/>
  <c r="AF9" i="6"/>
  <c r="AN9" i="6"/>
  <c r="AV9" i="6"/>
  <c r="BD9" i="6"/>
  <c r="D10" i="6"/>
  <c r="E9" i="6"/>
  <c r="U9" i="6"/>
  <c r="AC9" i="6"/>
  <c r="M9" i="6"/>
  <c r="F9" i="6"/>
  <c r="J9" i="6"/>
  <c r="N9" i="6"/>
  <c r="R9" i="6"/>
  <c r="V9" i="6"/>
  <c r="Z9" i="6"/>
  <c r="AD9" i="6"/>
  <c r="AH9" i="6"/>
  <c r="AL9" i="6"/>
  <c r="AP9" i="6"/>
  <c r="AT9" i="6"/>
  <c r="AX9" i="6"/>
  <c r="BB9" i="6"/>
  <c r="BF9" i="6"/>
  <c r="F10" i="6"/>
  <c r="C9" i="6"/>
  <c r="G9" i="6"/>
  <c r="K9" i="6"/>
  <c r="O9" i="6"/>
  <c r="S9" i="6"/>
  <c r="W9" i="6"/>
  <c r="AA9" i="6"/>
  <c r="AE9" i="6"/>
  <c r="AI9" i="6"/>
  <c r="AM9" i="6"/>
  <c r="AQ9" i="6"/>
  <c r="AU9" i="6"/>
  <c r="AY9" i="6"/>
  <c r="BC9" i="6"/>
  <c r="BG9" i="6"/>
  <c r="C10" i="6"/>
  <c r="H9" i="6"/>
  <c r="L9" i="6"/>
  <c r="P9" i="6"/>
  <c r="X9" i="6"/>
  <c r="AB9" i="6"/>
  <c r="AJ9" i="6"/>
  <c r="AR9" i="6"/>
  <c r="AZ9" i="6"/>
  <c r="BH9" i="6"/>
  <c r="I9" i="6"/>
  <c r="Q9" i="6"/>
  <c r="Y9" i="6"/>
  <c r="AG9" i="6"/>
  <c r="AW9" i="6"/>
  <c r="E10" i="6"/>
  <c r="AK9" i="6"/>
  <c r="BA9" i="6"/>
  <c r="AO9" i="6"/>
  <c r="BE9" i="6"/>
  <c r="AS9" i="6"/>
  <c r="B10" i="6"/>
  <c r="B16" i="6" s="1"/>
  <c r="B17" i="6" s="1"/>
  <c r="AQ10" i="6"/>
  <c r="K10" i="6"/>
  <c r="AH10" i="6"/>
  <c r="J10" i="6"/>
  <c r="AW12" i="6"/>
  <c r="AO12" i="6"/>
  <c r="Y12" i="6"/>
  <c r="Q10" i="6"/>
  <c r="BD10" i="6"/>
  <c r="AN10" i="6"/>
  <c r="X10" i="6"/>
  <c r="H10" i="6"/>
  <c r="U10" i="6"/>
  <c r="AN12" i="6"/>
  <c r="AY12" i="6"/>
  <c r="AQ12" i="6"/>
  <c r="AI12" i="6"/>
  <c r="AA12" i="6"/>
  <c r="S10" i="6"/>
  <c r="AX10" i="6"/>
  <c r="AP10" i="6"/>
  <c r="AH12" i="6"/>
  <c r="R10" i="6"/>
  <c r="BA10" i="6"/>
  <c r="AK10" i="6"/>
  <c r="M10" i="6"/>
  <c r="AV12" i="6"/>
  <c r="X12" i="6"/>
  <c r="N12" i="6"/>
  <c r="BC12" i="6"/>
  <c r="AU10" i="6"/>
  <c r="AM12" i="6"/>
  <c r="AE10" i="6"/>
  <c r="W10" i="6"/>
  <c r="O10" i="6"/>
  <c r="BF10" i="6"/>
  <c r="BB12" i="6"/>
  <c r="AT10" i="6"/>
  <c r="AL12" i="6"/>
  <c r="AD12" i="6"/>
  <c r="V10" i="6"/>
  <c r="N10" i="6"/>
  <c r="BG10" i="6"/>
  <c r="BA12" i="6"/>
  <c r="AS10" i="6"/>
  <c r="AK12" i="6"/>
  <c r="BL35" i="6" s="1"/>
  <c r="BL36" i="6" s="1"/>
  <c r="AC12" i="6"/>
  <c r="U12" i="6"/>
  <c r="AZ10" i="6"/>
  <c r="AR10" i="6"/>
  <c r="AJ10" i="6"/>
  <c r="AB10" i="6"/>
  <c r="T10" i="6"/>
  <c r="L10" i="6"/>
  <c r="BC10" i="6"/>
  <c r="AU12" i="6"/>
  <c r="AM10" i="6"/>
  <c r="AE12" i="6"/>
  <c r="W12" i="6"/>
  <c r="O12" i="6"/>
  <c r="BB10" i="6"/>
  <c r="AT12" i="6"/>
  <c r="AL10" i="6"/>
  <c r="AD10" i="6"/>
  <c r="V12" i="6"/>
  <c r="BE10" i="6"/>
  <c r="AW10" i="6"/>
  <c r="AO10" i="6"/>
  <c r="AG12" i="6"/>
  <c r="Y10" i="6"/>
  <c r="Q12" i="6"/>
  <c r="I10" i="6"/>
  <c r="AZ12" i="6"/>
  <c r="AR12" i="6"/>
  <c r="AJ12" i="6"/>
  <c r="AB12" i="6"/>
  <c r="T12" i="6"/>
  <c r="AY10" i="6"/>
  <c r="AI10" i="6"/>
  <c r="AA10" i="6"/>
  <c r="S12" i="6"/>
  <c r="G10" i="6"/>
  <c r="AX12" i="6"/>
  <c r="AP12" i="6"/>
  <c r="Z12" i="6"/>
  <c r="R12" i="6"/>
  <c r="AG10" i="6"/>
  <c r="AV10" i="6"/>
  <c r="AF10" i="6"/>
  <c r="P10" i="6"/>
  <c r="Z10" i="6"/>
  <c r="AS12" i="6"/>
  <c r="AC10" i="6"/>
  <c r="BH10" i="6"/>
  <c r="BD12" i="6"/>
  <c r="AF12" i="6"/>
  <c r="P12" i="6"/>
  <c r="BI23" i="6"/>
  <c r="G35" i="6"/>
  <c r="G36" i="6"/>
  <c r="K35" i="6"/>
  <c r="K36" i="6"/>
  <c r="AR35" i="6"/>
  <c r="AR36" i="6"/>
  <c r="AV35" i="6"/>
  <c r="AV36" i="6"/>
  <c r="H35" i="6"/>
  <c r="H36" i="6"/>
  <c r="L35" i="6"/>
  <c r="L36" i="6"/>
  <c r="AS35" i="6"/>
  <c r="AS36" i="6"/>
  <c r="AW35" i="6"/>
  <c r="AW36" i="6"/>
  <c r="M35" i="6"/>
  <c r="M36" i="6"/>
  <c r="AT35" i="6"/>
  <c r="AT36" i="6"/>
  <c r="AX35" i="6"/>
  <c r="AX36" i="6"/>
  <c r="I35" i="6"/>
  <c r="I36" i="6"/>
  <c r="J35" i="6"/>
  <c r="J36" i="6"/>
  <c r="AU35" i="6"/>
  <c r="AU36" i="6"/>
  <c r="K27" i="9"/>
  <c r="K28" i="9" s="1"/>
  <c r="Q24" i="6"/>
  <c r="Q25" i="6" s="1"/>
  <c r="Q29" i="6" s="1"/>
  <c r="Q31" i="6" s="1"/>
  <c r="R24" i="6"/>
  <c r="R25" i="6" s="1"/>
  <c r="R29" i="6" s="1"/>
  <c r="R31" i="6" s="1"/>
  <c r="V24" i="6"/>
  <c r="V25" i="6" s="1"/>
  <c r="V29" i="6" s="1"/>
  <c r="V31" i="6" s="1"/>
  <c r="Z24" i="6"/>
  <c r="Z25" i="6" s="1"/>
  <c r="Z29" i="6" s="1"/>
  <c r="Z31" i="6" s="1"/>
  <c r="AP24" i="6"/>
  <c r="AP25" i="6" s="1"/>
  <c r="AP29" i="6" s="1"/>
  <c r="AP31" i="6" s="1"/>
  <c r="J24" i="6"/>
  <c r="J25" i="6" s="1"/>
  <c r="J29" i="6" s="1"/>
  <c r="J31" i="6" s="1"/>
  <c r="I24" i="6"/>
  <c r="I25" i="6" s="1"/>
  <c r="I29" i="6" s="1"/>
  <c r="I31" i="6" s="1"/>
  <c r="O24" i="6"/>
  <c r="O25" i="6" s="1"/>
  <c r="O29" i="6" s="1"/>
  <c r="O31" i="6" s="1"/>
  <c r="G24" i="6"/>
  <c r="G25" i="6" s="1"/>
  <c r="G29" i="6" s="1"/>
  <c r="G31" i="6" s="1"/>
  <c r="C27" i="6"/>
  <c r="D27" i="6" s="1"/>
  <c r="D38" i="6" s="1"/>
  <c r="B38" i="6"/>
  <c r="K42" i="6"/>
  <c r="K24" i="6"/>
  <c r="K25" i="6" s="1"/>
  <c r="K29" i="6" s="1"/>
  <c r="K31" i="6" s="1"/>
  <c r="H88" i="6"/>
  <c r="H24" i="6"/>
  <c r="H25" i="6" s="1"/>
  <c r="H29" i="6" s="1"/>
  <c r="H31" i="6" s="1"/>
  <c r="M88" i="6"/>
  <c r="M24" i="6"/>
  <c r="M25" i="6" s="1"/>
  <c r="M29" i="6" s="1"/>
  <c r="M31" i="6" s="1"/>
  <c r="AD42" i="6"/>
  <c r="AD24" i="6"/>
  <c r="AD25" i="6" s="1"/>
  <c r="AD29" i="6" s="1"/>
  <c r="AD31" i="6" s="1"/>
  <c r="AH42" i="6"/>
  <c r="AH24" i="6"/>
  <c r="AH25" i="6" s="1"/>
  <c r="AH29" i="6" s="1"/>
  <c r="AH31" i="6" s="1"/>
  <c r="AL42" i="6"/>
  <c r="AL24" i="6"/>
  <c r="AL25" i="6" s="1"/>
  <c r="AL29" i="6" s="1"/>
  <c r="AL31" i="6" s="1"/>
  <c r="AT42" i="6"/>
  <c r="AT24" i="6"/>
  <c r="AT25" i="6" s="1"/>
  <c r="AT29" i="6" s="1"/>
  <c r="AT31" i="6" s="1"/>
  <c r="AX88" i="6"/>
  <c r="AX24" i="6"/>
  <c r="AX25" i="6" s="1"/>
  <c r="AX29" i="6" s="1"/>
  <c r="AX31" i="6" s="1"/>
  <c r="S88" i="6"/>
  <c r="S24" i="6"/>
  <c r="S25" i="6" s="1"/>
  <c r="S29" i="6" s="1"/>
  <c r="S31" i="6" s="1"/>
  <c r="W88" i="6"/>
  <c r="W24" i="6"/>
  <c r="W25" i="6" s="1"/>
  <c r="W29" i="6" s="1"/>
  <c r="W31" i="6" s="1"/>
  <c r="AA88" i="6"/>
  <c r="AA24" i="6"/>
  <c r="AA25" i="6" s="1"/>
  <c r="AA29" i="6" s="1"/>
  <c r="AA31" i="6" s="1"/>
  <c r="AE88" i="6"/>
  <c r="AE24" i="6"/>
  <c r="AE25" i="6" s="1"/>
  <c r="AE29" i="6" s="1"/>
  <c r="AE31" i="6" s="1"/>
  <c r="AI88" i="6"/>
  <c r="AI24" i="6"/>
  <c r="AI25" i="6" s="1"/>
  <c r="AI29" i="6" s="1"/>
  <c r="AI31" i="6" s="1"/>
  <c r="AM88" i="6"/>
  <c r="AM24" i="6"/>
  <c r="AM25" i="6" s="1"/>
  <c r="AM29" i="6" s="1"/>
  <c r="AM31" i="6" s="1"/>
  <c r="AQ88" i="6"/>
  <c r="AQ24" i="6"/>
  <c r="AQ25" i="6" s="1"/>
  <c r="AQ29" i="6" s="1"/>
  <c r="AQ31" i="6" s="1"/>
  <c r="AU88" i="6"/>
  <c r="AU24" i="6"/>
  <c r="AU25" i="6" s="1"/>
  <c r="AU29" i="6" s="1"/>
  <c r="AU31" i="6" s="1"/>
  <c r="P88" i="6"/>
  <c r="P24" i="6"/>
  <c r="P25" i="6" s="1"/>
  <c r="P29" i="6" s="1"/>
  <c r="P31" i="6" s="1"/>
  <c r="X88" i="6"/>
  <c r="X24" i="6"/>
  <c r="X25" i="6" s="1"/>
  <c r="X29" i="6" s="1"/>
  <c r="X31" i="6" s="1"/>
  <c r="AB88" i="6"/>
  <c r="AB24" i="6"/>
  <c r="AB25" i="6" s="1"/>
  <c r="AB29" i="6" s="1"/>
  <c r="AB31" i="6" s="1"/>
  <c r="AF88" i="6"/>
  <c r="AF24" i="6"/>
  <c r="AF25" i="6" s="1"/>
  <c r="AF29" i="6" s="1"/>
  <c r="AF31" i="6" s="1"/>
  <c r="AJ88" i="6"/>
  <c r="AJ24" i="6"/>
  <c r="AJ25" i="6" s="1"/>
  <c r="AJ29" i="6" s="1"/>
  <c r="AJ31" i="6" s="1"/>
  <c r="AN88" i="6"/>
  <c r="AN24" i="6"/>
  <c r="AN25" i="6" s="1"/>
  <c r="AN29" i="6" s="1"/>
  <c r="AN31" i="6" s="1"/>
  <c r="AR88" i="6"/>
  <c r="AR24" i="6"/>
  <c r="AR25" i="6" s="1"/>
  <c r="AR29" i="6" s="1"/>
  <c r="AR31" i="6" s="1"/>
  <c r="AV88" i="6"/>
  <c r="AV24" i="6"/>
  <c r="AV25" i="6" s="1"/>
  <c r="AV29" i="6" s="1"/>
  <c r="AV31" i="6" s="1"/>
  <c r="T88" i="6"/>
  <c r="T24" i="6"/>
  <c r="T25" i="6" s="1"/>
  <c r="T29" i="6" s="1"/>
  <c r="T31" i="6" s="1"/>
  <c r="L88" i="6"/>
  <c r="L24" i="6"/>
  <c r="L25" i="6" s="1"/>
  <c r="L29" i="6" s="1"/>
  <c r="L31" i="6" s="1"/>
  <c r="U88" i="6"/>
  <c r="U24" i="6"/>
  <c r="U25" i="6" s="1"/>
  <c r="U29" i="6" s="1"/>
  <c r="U31" i="6" s="1"/>
  <c r="Y88" i="6"/>
  <c r="Y24" i="6"/>
  <c r="Y25" i="6" s="1"/>
  <c r="Y29" i="6" s="1"/>
  <c r="Y31" i="6" s="1"/>
  <c r="AC88" i="6"/>
  <c r="AC24" i="6"/>
  <c r="AC25" i="6" s="1"/>
  <c r="AC29" i="6" s="1"/>
  <c r="AC31" i="6" s="1"/>
  <c r="AG88" i="6"/>
  <c r="AG24" i="6"/>
  <c r="AG25" i="6" s="1"/>
  <c r="AG29" i="6" s="1"/>
  <c r="AG31" i="6" s="1"/>
  <c r="AK88" i="6"/>
  <c r="AK24" i="6"/>
  <c r="AK25" i="6" s="1"/>
  <c r="AK29" i="6" s="1"/>
  <c r="AK31" i="6" s="1"/>
  <c r="AO88" i="6"/>
  <c r="AO24" i="6"/>
  <c r="AO25" i="6" s="1"/>
  <c r="AO29" i="6" s="1"/>
  <c r="AO31" i="6" s="1"/>
  <c r="AS88" i="6"/>
  <c r="AS24" i="6"/>
  <c r="AS25" i="6" s="1"/>
  <c r="AS29" i="6" s="1"/>
  <c r="AS31" i="6" s="1"/>
  <c r="AW88" i="6"/>
  <c r="AW24" i="6"/>
  <c r="AW25" i="6" s="1"/>
  <c r="AW29" i="6" s="1"/>
  <c r="AW31" i="6" s="1"/>
  <c r="G88" i="6"/>
  <c r="AW38" i="6"/>
  <c r="AX42" i="6"/>
  <c r="AL88" i="6"/>
  <c r="AP88" i="6"/>
  <c r="AS38" i="6"/>
  <c r="AP42" i="6"/>
  <c r="AT88" i="6"/>
  <c r="AT38" i="6"/>
  <c r="I37" i="6"/>
  <c r="J37" i="6"/>
  <c r="AT37" i="6"/>
  <c r="AX37" i="6"/>
  <c r="AR38" i="6"/>
  <c r="AV38" i="6"/>
  <c r="I42" i="6"/>
  <c r="M42" i="6"/>
  <c r="Q42" i="6"/>
  <c r="U42" i="6"/>
  <c r="Y42" i="6"/>
  <c r="AC42" i="6"/>
  <c r="AG42" i="6"/>
  <c r="AK42" i="6"/>
  <c r="AO42" i="6"/>
  <c r="AS42" i="6"/>
  <c r="AW42" i="6"/>
  <c r="K88" i="6"/>
  <c r="O88" i="6"/>
  <c r="G37" i="6"/>
  <c r="AU37" i="6"/>
  <c r="J42" i="6"/>
  <c r="N42" i="6"/>
  <c r="R42" i="6"/>
  <c r="V42" i="6"/>
  <c r="Z42" i="6"/>
  <c r="H37" i="6"/>
  <c r="L37" i="6"/>
  <c r="AR37" i="6"/>
  <c r="AV37" i="6"/>
  <c r="G42" i="6"/>
  <c r="O42" i="6"/>
  <c r="S42" i="6"/>
  <c r="W42" i="6"/>
  <c r="AA42" i="6"/>
  <c r="AE42" i="6"/>
  <c r="AI42" i="6"/>
  <c r="AM42" i="6"/>
  <c r="AQ42" i="6"/>
  <c r="AU42" i="6"/>
  <c r="I88" i="6"/>
  <c r="Q88" i="6"/>
  <c r="K37" i="6"/>
  <c r="M37" i="6"/>
  <c r="AS37" i="6"/>
  <c r="AW37" i="6"/>
  <c r="AU38" i="6"/>
  <c r="H42" i="6"/>
  <c r="L42" i="6"/>
  <c r="P42" i="6"/>
  <c r="T42" i="6"/>
  <c r="X42" i="6"/>
  <c r="AB42" i="6"/>
  <c r="AF42" i="6"/>
  <c r="AJ42" i="6"/>
  <c r="AN42" i="6"/>
  <c r="AR42" i="6"/>
  <c r="AV42" i="6"/>
  <c r="J88" i="6"/>
  <c r="N88" i="6"/>
  <c r="R88" i="6"/>
  <c r="V88" i="6"/>
  <c r="Z88" i="6"/>
  <c r="AD88" i="6"/>
  <c r="AH88" i="6"/>
  <c r="E36" i="9"/>
  <c r="G36" i="9" s="1"/>
  <c r="C80" i="4"/>
  <c r="C87" i="9"/>
  <c r="G108" i="4"/>
  <c r="AQ5" i="11"/>
  <c r="AS5" i="11" s="1"/>
  <c r="F44" i="9" s="1"/>
  <c r="C6" i="9" s="1"/>
  <c r="B24" i="6" s="1"/>
  <c r="B25" i="6" s="1"/>
  <c r="B29" i="6" s="1"/>
  <c r="B31" i="6" s="1"/>
  <c r="C7" i="9"/>
  <c r="E37" i="9"/>
  <c r="G37" i="9" s="1"/>
  <c r="F45" i="9"/>
  <c r="B47" i="9" s="1"/>
  <c r="G111" i="4"/>
  <c r="E34" i="9"/>
  <c r="G34" i="9" s="1"/>
  <c r="G107" i="4"/>
  <c r="B34" i="9"/>
  <c r="L17" i="9"/>
  <c r="C78" i="9" s="1"/>
  <c r="E38" i="9"/>
  <c r="G38" i="9" s="1"/>
  <c r="H122" i="4"/>
  <c r="H123" i="4"/>
  <c r="K108" i="4"/>
  <c r="BI29" i="6" l="1"/>
  <c r="BD44" i="6"/>
  <c r="BD45" i="6" s="1"/>
  <c r="BC44" i="6"/>
  <c r="BC45" i="6" s="1"/>
  <c r="BH44" i="6"/>
  <c r="BH45" i="6" s="1"/>
  <c r="AZ44" i="6"/>
  <c r="AZ45" i="6" s="1"/>
  <c r="BB44" i="6"/>
  <c r="BB45" i="6" s="1"/>
  <c r="BF44" i="6"/>
  <c r="BF45" i="6" s="1"/>
  <c r="BG44" i="6"/>
  <c r="BG45" i="6" s="1"/>
  <c r="AY44" i="6"/>
  <c r="AY45" i="6" s="1"/>
  <c r="BA44" i="6"/>
  <c r="BA45" i="6" s="1"/>
  <c r="N11" i="6"/>
  <c r="N13" i="6" s="1"/>
  <c r="N16" i="6" s="1"/>
  <c r="N17" i="6" s="1"/>
  <c r="C54" i="9"/>
  <c r="B46" i="6"/>
  <c r="B43" i="6"/>
  <c r="BI25" i="6"/>
  <c r="C21" i="4" s="1"/>
  <c r="BI9" i="6"/>
  <c r="C27" i="4" s="1"/>
  <c r="D108" i="4"/>
  <c r="D107" i="4"/>
  <c r="D111" i="4"/>
  <c r="D109" i="4"/>
  <c r="D110" i="4"/>
  <c r="C97" i="4" s="1"/>
  <c r="BI10" i="6"/>
  <c r="H46" i="6"/>
  <c r="H43" i="6"/>
  <c r="AS43" i="6"/>
  <c r="AS44" i="6" s="1"/>
  <c r="AS45" i="6" s="1"/>
  <c r="AS46" i="6"/>
  <c r="K46" i="6"/>
  <c r="K43" i="6"/>
  <c r="AR46" i="6"/>
  <c r="AR43" i="6"/>
  <c r="AR44" i="6" s="1"/>
  <c r="AR45" i="6" s="1"/>
  <c r="AT43" i="6"/>
  <c r="AT44" i="6" s="1"/>
  <c r="AT45" i="6" s="1"/>
  <c r="AT46" i="6"/>
  <c r="AW43" i="6"/>
  <c r="AW44" i="6" s="1"/>
  <c r="AW45" i="6" s="1"/>
  <c r="AW46" i="6"/>
  <c r="M43" i="6"/>
  <c r="M46" i="6"/>
  <c r="G46" i="6"/>
  <c r="G43" i="6"/>
  <c r="I43" i="6"/>
  <c r="I46" i="6"/>
  <c r="AV43" i="6"/>
  <c r="AV44" i="6" s="1"/>
  <c r="AV45" i="6" s="1"/>
  <c r="AV46" i="6"/>
  <c r="L46" i="6"/>
  <c r="L43" i="6"/>
  <c r="AU46" i="6"/>
  <c r="AU43" i="6"/>
  <c r="AU44" i="6" s="1"/>
  <c r="AU45" i="6" s="1"/>
  <c r="AX46" i="6"/>
  <c r="AX43" i="6"/>
  <c r="AX44" i="6" s="1"/>
  <c r="AX45" i="6" s="1"/>
  <c r="J46" i="6"/>
  <c r="J43" i="6"/>
  <c r="BI24" i="6"/>
  <c r="C19" i="4" s="1"/>
  <c r="BE16" i="6"/>
  <c r="BE17" i="6" s="1"/>
  <c r="BE18" i="6" s="1"/>
  <c r="BE19" i="6"/>
  <c r="D16" i="6"/>
  <c r="D17" i="6" s="1"/>
  <c r="D18" i="6" s="1"/>
  <c r="D19" i="6"/>
  <c r="J19" i="6"/>
  <c r="J16" i="6"/>
  <c r="J17" i="6" s="1"/>
  <c r="J18" i="6" s="1"/>
  <c r="BG16" i="6"/>
  <c r="BG17" i="6" s="1"/>
  <c r="BG18" i="6" s="1"/>
  <c r="BG19" i="6"/>
  <c r="BH19" i="6"/>
  <c r="BH16" i="6"/>
  <c r="BH17" i="6" s="1"/>
  <c r="BH18" i="6" s="1"/>
  <c r="L19" i="6"/>
  <c r="L16" i="6"/>
  <c r="L17" i="6" s="1"/>
  <c r="L18" i="6" s="1"/>
  <c r="E19" i="6"/>
  <c r="E16" i="6"/>
  <c r="E17" i="6" s="1"/>
  <c r="E18" i="6" s="1"/>
  <c r="G16" i="6"/>
  <c r="G17" i="6" s="1"/>
  <c r="G18" i="6" s="1"/>
  <c r="G19" i="6"/>
  <c r="K16" i="6"/>
  <c r="K17" i="6" s="1"/>
  <c r="K18" i="6" s="1"/>
  <c r="K19" i="6"/>
  <c r="BF16" i="6"/>
  <c r="BF17" i="6" s="1"/>
  <c r="BF18" i="6" s="1"/>
  <c r="BF19" i="6"/>
  <c r="B19" i="6"/>
  <c r="B18" i="6"/>
  <c r="I19" i="6"/>
  <c r="I16" i="6"/>
  <c r="I17" i="6" s="1"/>
  <c r="I18" i="6" s="1"/>
  <c r="C16" i="6"/>
  <c r="C17" i="6" s="1"/>
  <c r="C18" i="6" s="1"/>
  <c r="C19" i="6"/>
  <c r="F16" i="6"/>
  <c r="F17" i="6" s="1"/>
  <c r="F18" i="6" s="1"/>
  <c r="F19" i="6"/>
  <c r="M19" i="6"/>
  <c r="M16" i="6"/>
  <c r="M17" i="6" s="1"/>
  <c r="M18" i="6" s="1"/>
  <c r="H16" i="6"/>
  <c r="H17" i="6" s="1"/>
  <c r="H18" i="6" s="1"/>
  <c r="H19" i="6"/>
  <c r="N26" i="6"/>
  <c r="BG26" i="6"/>
  <c r="BH26" i="6"/>
  <c r="BE26" i="6"/>
  <c r="BF26" i="6"/>
  <c r="C38" i="6"/>
  <c r="D40" i="6"/>
  <c r="D39" i="6" s="1"/>
  <c r="C40" i="6"/>
  <c r="C39" i="6" s="1"/>
  <c r="E27" i="6"/>
  <c r="E40" i="6" s="1"/>
  <c r="E39" i="6" s="1"/>
  <c r="G26" i="6"/>
  <c r="U26" i="6"/>
  <c r="AA26" i="6"/>
  <c r="Y26" i="6"/>
  <c r="AI26" i="6"/>
  <c r="R26" i="6"/>
  <c r="S26" i="6"/>
  <c r="AD26" i="6"/>
  <c r="AO26" i="6"/>
  <c r="I26" i="6"/>
  <c r="AF26" i="6"/>
  <c r="AM26" i="6"/>
  <c r="K26" i="6"/>
  <c r="V26" i="6"/>
  <c r="AC26" i="6"/>
  <c r="L26" i="6"/>
  <c r="P26" i="6"/>
  <c r="AQ26" i="6"/>
  <c r="W26" i="6"/>
  <c r="AH26" i="6"/>
  <c r="AK26" i="6"/>
  <c r="M26" i="6"/>
  <c r="AV26" i="6"/>
  <c r="BI42" i="6"/>
  <c r="BJ42" i="6" s="1"/>
  <c r="AU26" i="6"/>
  <c r="AE26" i="6"/>
  <c r="O26" i="6"/>
  <c r="Z26" i="6"/>
  <c r="J26" i="6"/>
  <c r="AG26" i="6"/>
  <c r="Q26" i="6"/>
  <c r="AJ26" i="6"/>
  <c r="T26" i="6"/>
  <c r="AR26" i="6"/>
  <c r="AB26" i="6"/>
  <c r="BC26" i="6"/>
  <c r="AY26" i="6"/>
  <c r="C26" i="6"/>
  <c r="BB26" i="6"/>
  <c r="AX26" i="6"/>
  <c r="AT26" i="6"/>
  <c r="AP26" i="6"/>
  <c r="AL26" i="6"/>
  <c r="F26" i="6"/>
  <c r="B26" i="6"/>
  <c r="BA26" i="6"/>
  <c r="AW26" i="6"/>
  <c r="AS26" i="6"/>
  <c r="E26" i="6"/>
  <c r="BD26" i="6"/>
  <c r="AZ26" i="6"/>
  <c r="D26" i="6"/>
  <c r="AN26" i="6"/>
  <c r="X26" i="6"/>
  <c r="H26" i="6"/>
  <c r="K114" i="4"/>
  <c r="G10" i="4" s="1"/>
  <c r="Q50" i="9"/>
  <c r="R50" i="9" s="1"/>
  <c r="L14" i="3"/>
  <c r="C78" i="6" s="1"/>
  <c r="B56" i="9"/>
  <c r="C100" i="4" s="1"/>
  <c r="C117" i="4" s="1"/>
  <c r="D117" i="4" s="1"/>
  <c r="E10" i="4"/>
  <c r="F82" i="9"/>
  <c r="G78" i="9" s="1"/>
  <c r="H37" i="9"/>
  <c r="H36" i="9"/>
  <c r="H38" i="9"/>
  <c r="H35" i="9"/>
  <c r="H34" i="9"/>
  <c r="AD11" i="6" l="1"/>
  <c r="AD13" i="6" s="1"/>
  <c r="AD16" i="6" s="1"/>
  <c r="AD17" i="6" s="1"/>
  <c r="AD18" i="6" s="1"/>
  <c r="AZ11" i="6"/>
  <c r="AZ13" i="6" s="1"/>
  <c r="AZ16" i="6" s="1"/>
  <c r="AZ17" i="6" s="1"/>
  <c r="AZ18" i="6" s="1"/>
  <c r="AF11" i="6"/>
  <c r="AF13" i="6" s="1"/>
  <c r="AF19" i="6" s="1"/>
  <c r="AY11" i="6"/>
  <c r="AY13" i="6" s="1"/>
  <c r="AY16" i="6" s="1"/>
  <c r="AY17" i="6" s="1"/>
  <c r="AY18" i="6" s="1"/>
  <c r="BA11" i="6"/>
  <c r="BA13" i="6" s="1"/>
  <c r="BA19" i="6" s="1"/>
  <c r="BB11" i="6"/>
  <c r="BB13" i="6" s="1"/>
  <c r="BB16" i="6" s="1"/>
  <c r="BB17" i="6" s="1"/>
  <c r="BB18" i="6" s="1"/>
  <c r="AC11" i="6"/>
  <c r="AC13" i="6" s="1"/>
  <c r="AC16" i="6" s="1"/>
  <c r="AC17" i="6" s="1"/>
  <c r="AC18" i="6" s="1"/>
  <c r="AE11" i="6"/>
  <c r="AE13" i="6" s="1"/>
  <c r="AE16" i="6" s="1"/>
  <c r="AE17" i="6" s="1"/>
  <c r="AE18" i="6" s="1"/>
  <c r="Y11" i="6"/>
  <c r="Y13" i="6" s="1"/>
  <c r="Y16" i="6" s="1"/>
  <c r="Y17" i="6" s="1"/>
  <c r="Y18" i="6" s="1"/>
  <c r="AU11" i="6"/>
  <c r="AU13" i="6" s="1"/>
  <c r="AU19" i="6" s="1"/>
  <c r="AT11" i="6"/>
  <c r="AT13" i="6" s="1"/>
  <c r="AT14" i="6" s="1"/>
  <c r="AT15" i="6" s="1"/>
  <c r="AO11" i="6"/>
  <c r="AO13" i="6" s="1"/>
  <c r="AO14" i="6" s="1"/>
  <c r="AO15" i="6" s="1"/>
  <c r="AN11" i="6"/>
  <c r="AN13" i="6" s="1"/>
  <c r="AN19" i="6" s="1"/>
  <c r="AQ11" i="6"/>
  <c r="AQ13" i="6" s="1"/>
  <c r="AQ16" i="6" s="1"/>
  <c r="AQ17" i="6" s="1"/>
  <c r="AQ18" i="6" s="1"/>
  <c r="AP11" i="6"/>
  <c r="AP13" i="6" s="1"/>
  <c r="AP19" i="6" s="1"/>
  <c r="V11" i="6"/>
  <c r="V13" i="6" s="1"/>
  <c r="V14" i="6" s="1"/>
  <c r="V15" i="6" s="1"/>
  <c r="AS11" i="6"/>
  <c r="AS13" i="6" s="1"/>
  <c r="AS14" i="6" s="1"/>
  <c r="AS15" i="6" s="1"/>
  <c r="AV11" i="6"/>
  <c r="AV13" i="6" s="1"/>
  <c r="AV16" i="6" s="1"/>
  <c r="AV17" i="6" s="1"/>
  <c r="AV18" i="6" s="1"/>
  <c r="AA11" i="6"/>
  <c r="AA13" i="6" s="1"/>
  <c r="AA14" i="6" s="1"/>
  <c r="AA15" i="6" s="1"/>
  <c r="Z11" i="6"/>
  <c r="Z13" i="6" s="1"/>
  <c r="Z14" i="6" s="1"/>
  <c r="Z15" i="6" s="1"/>
  <c r="U11" i="6"/>
  <c r="U13" i="6" s="1"/>
  <c r="U16" i="6" s="1"/>
  <c r="U17" i="6" s="1"/>
  <c r="U18" i="6" s="1"/>
  <c r="T11" i="6"/>
  <c r="T13" i="6" s="1"/>
  <c r="T14" i="6" s="1"/>
  <c r="T15" i="6" s="1"/>
  <c r="S11" i="6"/>
  <c r="S13" i="6" s="1"/>
  <c r="S19" i="6" s="1"/>
  <c r="AK11" i="6"/>
  <c r="AK13" i="6" s="1"/>
  <c r="AK14" i="6" s="1"/>
  <c r="AK35" i="6" s="1"/>
  <c r="BD11" i="6"/>
  <c r="BD13" i="6" s="1"/>
  <c r="BD16" i="6" s="1"/>
  <c r="BD17" i="6" s="1"/>
  <c r="BD18" i="6" s="1"/>
  <c r="AJ11" i="6"/>
  <c r="AJ13" i="6" s="1"/>
  <c r="AJ14" i="6" s="1"/>
  <c r="AJ15" i="6" s="1"/>
  <c r="P11" i="6"/>
  <c r="P13" i="6" s="1"/>
  <c r="P14" i="6" s="1"/>
  <c r="P15" i="6" s="1"/>
  <c r="AI11" i="6"/>
  <c r="AI13" i="6" s="1"/>
  <c r="AI16" i="6" s="1"/>
  <c r="AI17" i="6" s="1"/>
  <c r="AI18" i="6" s="1"/>
  <c r="O11" i="6"/>
  <c r="O13" i="6" s="1"/>
  <c r="O14" i="6" s="1"/>
  <c r="O15" i="6" s="1"/>
  <c r="AL11" i="6"/>
  <c r="AL13" i="6" s="1"/>
  <c r="AL14" i="6" s="1"/>
  <c r="AL15" i="6" s="1"/>
  <c r="X11" i="6"/>
  <c r="X13" i="6" s="1"/>
  <c r="X19" i="6" s="1"/>
  <c r="AW11" i="6"/>
  <c r="AW13" i="6" s="1"/>
  <c r="AW16" i="6" s="1"/>
  <c r="AW17" i="6" s="1"/>
  <c r="AW18" i="6" s="1"/>
  <c r="AG11" i="6"/>
  <c r="AG13" i="6" s="1"/>
  <c r="AG16" i="6" s="1"/>
  <c r="AG17" i="6" s="1"/>
  <c r="AG18" i="6" s="1"/>
  <c r="Q11" i="6"/>
  <c r="Q13" i="6" s="1"/>
  <c r="Q19" i="6" s="1"/>
  <c r="AR11" i="6"/>
  <c r="AR13" i="6" s="1"/>
  <c r="AR16" i="6" s="1"/>
  <c r="AR17" i="6" s="1"/>
  <c r="AR18" i="6" s="1"/>
  <c r="AB11" i="6"/>
  <c r="AB13" i="6" s="1"/>
  <c r="AB19" i="6" s="1"/>
  <c r="BC11" i="6"/>
  <c r="BC13" i="6" s="1"/>
  <c r="BC14" i="6" s="1"/>
  <c r="BC15" i="6" s="1"/>
  <c r="AM11" i="6"/>
  <c r="AM13" i="6" s="1"/>
  <c r="AM19" i="6" s="1"/>
  <c r="W11" i="6"/>
  <c r="W13" i="6" s="1"/>
  <c r="W16" i="6" s="1"/>
  <c r="W17" i="6" s="1"/>
  <c r="W18" i="6" s="1"/>
  <c r="AX11" i="6"/>
  <c r="AX13" i="6" s="1"/>
  <c r="AX14" i="6" s="1"/>
  <c r="AX15" i="6" s="1"/>
  <c r="AH11" i="6"/>
  <c r="AH13" i="6" s="1"/>
  <c r="AH14" i="6" s="1"/>
  <c r="R11" i="6"/>
  <c r="R13" i="6" s="1"/>
  <c r="R16" i="6" s="1"/>
  <c r="R17" i="6" s="1"/>
  <c r="R18" i="6" s="1"/>
  <c r="I48" i="4"/>
  <c r="I49" i="4" s="1"/>
  <c r="I50" i="4" s="1"/>
  <c r="I54" i="4" s="1"/>
  <c r="E145" i="3"/>
  <c r="N19" i="6"/>
  <c r="E48" i="4"/>
  <c r="E49" i="4" s="1"/>
  <c r="E50" i="4" s="1"/>
  <c r="E54" i="4" s="1"/>
  <c r="J48" i="4"/>
  <c r="J49" i="4" s="1"/>
  <c r="J50" i="4" s="1"/>
  <c r="J54" i="4" s="1"/>
  <c r="H48" i="4"/>
  <c r="H49" i="4" s="1"/>
  <c r="H50" i="4" s="1"/>
  <c r="H54" i="4" s="1"/>
  <c r="F48" i="4"/>
  <c r="F49" i="4" s="1"/>
  <c r="F50" i="4" s="1"/>
  <c r="F54" i="4" s="1"/>
  <c r="K48" i="4"/>
  <c r="K49" i="4" s="1"/>
  <c r="K50" i="4" s="1"/>
  <c r="K54" i="4" s="1"/>
  <c r="C48" i="4"/>
  <c r="C49" i="4" s="1"/>
  <c r="G48" i="4"/>
  <c r="G49" i="4" s="1"/>
  <c r="G50" i="4" s="1"/>
  <c r="G54" i="4" s="1"/>
  <c r="C73" i="6"/>
  <c r="C29" i="4"/>
  <c r="D48" i="4" s="1"/>
  <c r="F49" i="3"/>
  <c r="E144" i="3" s="1"/>
  <c r="F39" i="3"/>
  <c r="C77" i="6"/>
  <c r="R87" i="6" s="1"/>
  <c r="R94" i="6" s="1"/>
  <c r="C20" i="4"/>
  <c r="C118" i="4"/>
  <c r="BI26" i="6"/>
  <c r="N14" i="6"/>
  <c r="F27" i="6"/>
  <c r="F40" i="6" s="1"/>
  <c r="F39" i="6" s="1"/>
  <c r="E38" i="6"/>
  <c r="H82" i="9"/>
  <c r="C42" i="4" s="1"/>
  <c r="K110" i="4"/>
  <c r="C74" i="6"/>
  <c r="C76" i="6"/>
  <c r="B57" i="9"/>
  <c r="C75" i="6"/>
  <c r="G44" i="4"/>
  <c r="G45" i="4" s="1"/>
  <c r="G46" i="4" s="1"/>
  <c r="G53" i="4" s="1"/>
  <c r="K44" i="4"/>
  <c r="K45" i="4" s="1"/>
  <c r="K46" i="4" s="1"/>
  <c r="K53" i="4" s="1"/>
  <c r="H44" i="4"/>
  <c r="H45" i="4" s="1"/>
  <c r="H46" i="4" s="1"/>
  <c r="H53" i="4" s="1"/>
  <c r="E44" i="4"/>
  <c r="E45" i="4" s="1"/>
  <c r="E46" i="4" s="1"/>
  <c r="E53" i="4" s="1"/>
  <c r="I44" i="4"/>
  <c r="I45" i="4" s="1"/>
  <c r="I46" i="4" s="1"/>
  <c r="I53" i="4" s="1"/>
  <c r="C44" i="4"/>
  <c r="C45" i="4" s="1"/>
  <c r="F44" i="4"/>
  <c r="F45" i="4" s="1"/>
  <c r="F46" i="4" s="1"/>
  <c r="F53" i="4" s="1"/>
  <c r="J44" i="4"/>
  <c r="J45" i="4" s="1"/>
  <c r="J46" i="4" s="1"/>
  <c r="J53" i="4" s="1"/>
  <c r="H39" i="9"/>
  <c r="C50" i="9" s="1"/>
  <c r="C51" i="9" s="1"/>
  <c r="F36" i="3" s="1"/>
  <c r="D44" i="6"/>
  <c r="D45" i="6" s="1"/>
  <c r="C88" i="9"/>
  <c r="E11" i="4"/>
  <c r="F6" i="4" s="1"/>
  <c r="C79" i="9"/>
  <c r="L80" i="9" s="1"/>
  <c r="D48" i="7" l="1"/>
  <c r="F48" i="7"/>
  <c r="E48" i="7"/>
  <c r="C42" i="7"/>
  <c r="B42" i="7"/>
  <c r="AD19" i="6"/>
  <c r="AD20" i="6" s="1"/>
  <c r="AU16" i="6"/>
  <c r="AU17" i="6" s="1"/>
  <c r="AU18" i="6" s="1"/>
  <c r="AZ14" i="6"/>
  <c r="AZ15" i="6" s="1"/>
  <c r="AI19" i="6"/>
  <c r="AI20" i="6" s="1"/>
  <c r="AE19" i="6"/>
  <c r="AE20" i="6" s="1"/>
  <c r="AD14" i="6"/>
  <c r="AD15" i="6" s="1"/>
  <c r="AE14" i="6"/>
  <c r="AE35" i="6" s="1"/>
  <c r="AF14" i="6"/>
  <c r="AF35" i="6" s="1"/>
  <c r="AO35" i="6"/>
  <c r="Y14" i="6"/>
  <c r="Y15" i="6" s="1"/>
  <c r="AF16" i="6"/>
  <c r="AF17" i="6" s="1"/>
  <c r="AF18" i="6" s="1"/>
  <c r="AC19" i="6"/>
  <c r="AC20" i="6" s="1"/>
  <c r="AZ19" i="6"/>
  <c r="AZ20" i="6" s="1"/>
  <c r="AQ14" i="6"/>
  <c r="AQ35" i="6" s="1"/>
  <c r="Z19" i="6"/>
  <c r="Z20" i="6" s="1"/>
  <c r="AB14" i="6"/>
  <c r="AB35" i="6" s="1"/>
  <c r="T19" i="6"/>
  <c r="T20" i="6" s="1"/>
  <c r="P19" i="6"/>
  <c r="P20" i="6" s="1"/>
  <c r="AT19" i="6"/>
  <c r="AT20" i="6" s="1"/>
  <c r="X14" i="6"/>
  <c r="X35" i="6" s="1"/>
  <c r="AK15" i="6"/>
  <c r="AI14" i="6"/>
  <c r="AI35" i="6" s="1"/>
  <c r="AO16" i="6"/>
  <c r="AO17" i="6" s="1"/>
  <c r="AO18" i="6" s="1"/>
  <c r="BA14" i="6"/>
  <c r="BA15" i="6" s="1"/>
  <c r="Z35" i="6"/>
  <c r="BA16" i="6"/>
  <c r="BA17" i="6" s="1"/>
  <c r="BA18" i="6" s="1"/>
  <c r="AL35" i="6"/>
  <c r="AW14" i="6"/>
  <c r="AW15" i="6" s="1"/>
  <c r="AY19" i="6"/>
  <c r="AY20" i="6" s="1"/>
  <c r="AJ19" i="6"/>
  <c r="AJ20" i="6" s="1"/>
  <c r="T16" i="6"/>
  <c r="T17" i="6" s="1"/>
  <c r="T18" i="6" s="1"/>
  <c r="Q14" i="6"/>
  <c r="Q35" i="6" s="1"/>
  <c r="AY14" i="6"/>
  <c r="AY15" i="6" s="1"/>
  <c r="BB14" i="6"/>
  <c r="BB15" i="6" s="1"/>
  <c r="AL19" i="6"/>
  <c r="AL20" i="6" s="1"/>
  <c r="AH35" i="6"/>
  <c r="AA35" i="6"/>
  <c r="AL16" i="6"/>
  <c r="AL17" i="6" s="1"/>
  <c r="AL18" i="6" s="1"/>
  <c r="AW19" i="6"/>
  <c r="AW20" i="6" s="1"/>
  <c r="AA19" i="6"/>
  <c r="AA20" i="6" s="1"/>
  <c r="AJ16" i="6"/>
  <c r="AJ17" i="6" s="1"/>
  <c r="AJ18" i="6" s="1"/>
  <c r="BB19" i="6"/>
  <c r="BB20" i="6" s="1"/>
  <c r="T35" i="6"/>
  <c r="V35" i="6"/>
  <c r="U14" i="6"/>
  <c r="U15" i="6" s="1"/>
  <c r="AG19" i="6"/>
  <c r="AG20" i="6" s="1"/>
  <c r="AC14" i="6"/>
  <c r="AC35" i="6" s="1"/>
  <c r="Y19" i="6"/>
  <c r="Y20" i="6" s="1"/>
  <c r="AN16" i="6"/>
  <c r="AN17" i="6" s="1"/>
  <c r="AN18" i="6" s="1"/>
  <c r="O35" i="6"/>
  <c r="BD14" i="6"/>
  <c r="BD15" i="6" s="1"/>
  <c r="X16" i="6"/>
  <c r="X17" i="6" s="1"/>
  <c r="X18" i="6" s="1"/>
  <c r="AV14" i="6"/>
  <c r="AV15" i="6" s="1"/>
  <c r="W14" i="6"/>
  <c r="W15" i="6" s="1"/>
  <c r="AN14" i="6"/>
  <c r="AN35" i="6" s="1"/>
  <c r="AR19" i="6"/>
  <c r="AR20" i="6" s="1"/>
  <c r="AS16" i="6"/>
  <c r="AS17" i="6" s="1"/>
  <c r="AS18" i="6" s="1"/>
  <c r="V19" i="6"/>
  <c r="V20" i="6" s="1"/>
  <c r="X20" i="6"/>
  <c r="AR14" i="6"/>
  <c r="AR15" i="6" s="1"/>
  <c r="W19" i="6"/>
  <c r="W20" i="6" s="1"/>
  <c r="AU14" i="6"/>
  <c r="AU15" i="6" s="1"/>
  <c r="AS19" i="6"/>
  <c r="AS20" i="6" s="1"/>
  <c r="O16" i="6"/>
  <c r="O17" i="6" s="1"/>
  <c r="O18" i="6" s="1"/>
  <c r="AT16" i="6"/>
  <c r="AT17" i="6" s="1"/>
  <c r="AT18" i="6" s="1"/>
  <c r="O19" i="6"/>
  <c r="O20" i="6" s="1"/>
  <c r="AO19" i="6"/>
  <c r="AO20" i="6" s="1"/>
  <c r="AK19" i="6"/>
  <c r="AK20" i="6" s="1"/>
  <c r="AV19" i="6"/>
  <c r="AV20" i="6" s="1"/>
  <c r="BD19" i="6"/>
  <c r="BD20" i="6" s="1"/>
  <c r="U19" i="6"/>
  <c r="U20" i="6" s="1"/>
  <c r="AK16" i="6"/>
  <c r="AK17" i="6" s="1"/>
  <c r="AK18" i="6" s="1"/>
  <c r="V16" i="6"/>
  <c r="V17" i="6" s="1"/>
  <c r="V18" i="6" s="1"/>
  <c r="S14" i="6"/>
  <c r="S35" i="6" s="1"/>
  <c r="AH15" i="6"/>
  <c r="AX16" i="6"/>
  <c r="AX17" i="6" s="1"/>
  <c r="AX18" i="6" s="1"/>
  <c r="BC16" i="6"/>
  <c r="BC17" i="6" s="1"/>
  <c r="BC18" i="6" s="1"/>
  <c r="S16" i="6"/>
  <c r="S17" i="6" s="1"/>
  <c r="S18" i="6" s="1"/>
  <c r="P16" i="6"/>
  <c r="P17" i="6" s="1"/>
  <c r="P18" i="6" s="1"/>
  <c r="P35" i="6"/>
  <c r="AQ19" i="6"/>
  <c r="AQ20" i="6" s="1"/>
  <c r="AX19" i="6"/>
  <c r="AX20" i="6" s="1"/>
  <c r="BC19" i="6"/>
  <c r="BC20" i="6" s="1"/>
  <c r="Z16" i="6"/>
  <c r="Z17" i="6" s="1"/>
  <c r="Z18" i="6" s="1"/>
  <c r="AP16" i="6"/>
  <c r="AP17" i="6" s="1"/>
  <c r="AP18" i="6" s="1"/>
  <c r="AA16" i="6"/>
  <c r="AA17" i="6" s="1"/>
  <c r="AA18" i="6" s="1"/>
  <c r="AP14" i="6"/>
  <c r="AP35" i="6" s="1"/>
  <c r="AM16" i="6"/>
  <c r="AM17" i="6" s="1"/>
  <c r="AM18" i="6" s="1"/>
  <c r="AH19" i="6"/>
  <c r="AH20" i="6" s="1"/>
  <c r="AH16" i="6"/>
  <c r="AH17" i="6" s="1"/>
  <c r="AH18" i="6" s="1"/>
  <c r="AB16" i="6"/>
  <c r="AB17" i="6" s="1"/>
  <c r="AB18" i="6" s="1"/>
  <c r="AG14" i="6"/>
  <c r="AG15" i="6" s="1"/>
  <c r="AM14" i="6"/>
  <c r="AM35" i="6" s="1"/>
  <c r="R14" i="6"/>
  <c r="R15" i="6" s="1"/>
  <c r="Q16" i="6"/>
  <c r="Q17" i="6" s="1"/>
  <c r="Q18" i="6" s="1"/>
  <c r="R19" i="6"/>
  <c r="R20" i="6" s="1"/>
  <c r="B33" i="6"/>
  <c r="J56" i="4"/>
  <c r="AV87" i="6"/>
  <c r="AV94" i="6" s="1"/>
  <c r="Q87" i="6"/>
  <c r="Q94" i="6" s="1"/>
  <c r="AG87" i="6"/>
  <c r="AG94" i="6" s="1"/>
  <c r="K87" i="6"/>
  <c r="K94" i="6" s="1"/>
  <c r="AP87" i="6"/>
  <c r="AP94" i="6" s="1"/>
  <c r="L87" i="6"/>
  <c r="L94" i="6" s="1"/>
  <c r="K56" i="4"/>
  <c r="Y87" i="6"/>
  <c r="Y94" i="6" s="1"/>
  <c r="AQ87" i="6"/>
  <c r="AQ94" i="6" s="1"/>
  <c r="AY87" i="6"/>
  <c r="AY94" i="6" s="1"/>
  <c r="C45" i="7"/>
  <c r="C43" i="7"/>
  <c r="C44" i="7"/>
  <c r="O87" i="6"/>
  <c r="O94" i="6" s="1"/>
  <c r="Z87" i="6"/>
  <c r="Z94" i="6" s="1"/>
  <c r="AZ87" i="6"/>
  <c r="AZ94" i="6" s="1"/>
  <c r="X87" i="6"/>
  <c r="X94" i="6" s="1"/>
  <c r="B87" i="6"/>
  <c r="B94" i="6" s="1"/>
  <c r="BB87" i="6"/>
  <c r="BB94" i="6" s="1"/>
  <c r="F87" i="6"/>
  <c r="F94" i="6" s="1"/>
  <c r="N87" i="6"/>
  <c r="N94" i="6" s="1"/>
  <c r="AI87" i="6"/>
  <c r="AI94" i="6" s="1"/>
  <c r="AX87" i="6"/>
  <c r="AX94" i="6" s="1"/>
  <c r="F43" i="3"/>
  <c r="F33" i="6" s="1"/>
  <c r="AU87" i="6"/>
  <c r="AU94" i="6" s="1"/>
  <c r="I87" i="6"/>
  <c r="I94" i="6" s="1"/>
  <c r="AA87" i="6"/>
  <c r="AA94" i="6" s="1"/>
  <c r="V87" i="6"/>
  <c r="V94" i="6" s="1"/>
  <c r="AR87" i="6"/>
  <c r="AR94" i="6" s="1"/>
  <c r="U87" i="6"/>
  <c r="U94" i="6" s="1"/>
  <c r="T86" i="6"/>
  <c r="T93" i="6" s="1"/>
  <c r="AM87" i="6"/>
  <c r="AM94" i="6" s="1"/>
  <c r="S87" i="6"/>
  <c r="S94" i="6" s="1"/>
  <c r="C28" i="4"/>
  <c r="E146" i="3" s="1"/>
  <c r="C46" i="7"/>
  <c r="BE87" i="6"/>
  <c r="BE94" i="6" s="1"/>
  <c r="P87" i="6"/>
  <c r="P94" i="6" s="1"/>
  <c r="G87" i="6"/>
  <c r="G94" i="6" s="1"/>
  <c r="AB87" i="6"/>
  <c r="AB94" i="6" s="1"/>
  <c r="C87" i="6"/>
  <c r="C94" i="6" s="1"/>
  <c r="BC87" i="6"/>
  <c r="BC94" i="6" s="1"/>
  <c r="BD87" i="6"/>
  <c r="BD94" i="6" s="1"/>
  <c r="AN87" i="6"/>
  <c r="AN94" i="6" s="1"/>
  <c r="AC87" i="6"/>
  <c r="AC94" i="6" s="1"/>
  <c r="BA87" i="6"/>
  <c r="BA94" i="6" s="1"/>
  <c r="D87" i="6"/>
  <c r="D94" i="6" s="1"/>
  <c r="AS87" i="6"/>
  <c r="AS94" i="6" s="1"/>
  <c r="AL87" i="6"/>
  <c r="AL94" i="6" s="1"/>
  <c r="J87" i="6"/>
  <c r="J94" i="6" s="1"/>
  <c r="T87" i="6"/>
  <c r="T94" i="6" s="1"/>
  <c r="L83" i="6"/>
  <c r="L90" i="6" s="1"/>
  <c r="AE87" i="6"/>
  <c r="AE94" i="6" s="1"/>
  <c r="AO87" i="6"/>
  <c r="AO94" i="6" s="1"/>
  <c r="AF87" i="6"/>
  <c r="AF94" i="6" s="1"/>
  <c r="AD87" i="6"/>
  <c r="AD94" i="6" s="1"/>
  <c r="AK87" i="6"/>
  <c r="AK94" i="6" s="1"/>
  <c r="H87" i="6"/>
  <c r="H94" i="6" s="1"/>
  <c r="W87" i="6"/>
  <c r="W94" i="6" s="1"/>
  <c r="M87" i="6"/>
  <c r="M94" i="6" s="1"/>
  <c r="AH87" i="6"/>
  <c r="AH94" i="6" s="1"/>
  <c r="AT87" i="6"/>
  <c r="AT94" i="6" s="1"/>
  <c r="AJ87" i="6"/>
  <c r="AJ94" i="6" s="1"/>
  <c r="AW87" i="6"/>
  <c r="AW94" i="6" s="1"/>
  <c r="E87" i="6"/>
  <c r="E94" i="6" s="1"/>
  <c r="C108" i="4"/>
  <c r="E108" i="4" s="1"/>
  <c r="L49" i="3"/>
  <c r="C50" i="4"/>
  <c r="C54" i="4" s="1"/>
  <c r="O78" i="9"/>
  <c r="C110" i="4"/>
  <c r="E110" i="4" s="1"/>
  <c r="C107" i="4"/>
  <c r="E107" i="4" s="1"/>
  <c r="C111" i="4"/>
  <c r="E111" i="4" s="1"/>
  <c r="C49" i="3"/>
  <c r="N79" i="9"/>
  <c r="C109" i="4"/>
  <c r="E109" i="4" s="1"/>
  <c r="C46" i="4"/>
  <c r="C53" i="4" s="1"/>
  <c r="G27" i="6"/>
  <c r="G38" i="6" s="1"/>
  <c r="N35" i="6"/>
  <c r="AJ35" i="6"/>
  <c r="N15" i="6"/>
  <c r="BF20" i="6"/>
  <c r="G20" i="6"/>
  <c r="AF20" i="6"/>
  <c r="L20" i="6"/>
  <c r="BE20" i="6"/>
  <c r="BA20" i="6"/>
  <c r="BH47" i="6"/>
  <c r="BE47" i="6"/>
  <c r="BF47" i="6"/>
  <c r="BG47" i="6"/>
  <c r="B20" i="6"/>
  <c r="K20" i="6"/>
  <c r="AN20" i="6"/>
  <c r="I20" i="6"/>
  <c r="F20" i="6"/>
  <c r="J20" i="6"/>
  <c r="N20" i="6"/>
  <c r="E20" i="6"/>
  <c r="BH20" i="6"/>
  <c r="C20" i="6"/>
  <c r="AB20" i="6"/>
  <c r="D20" i="6"/>
  <c r="H20" i="6"/>
  <c r="AP20" i="6"/>
  <c r="AM20" i="6"/>
  <c r="M20" i="6"/>
  <c r="S20" i="6"/>
  <c r="Q20" i="6"/>
  <c r="BG20" i="6"/>
  <c r="AU20" i="6"/>
  <c r="N18" i="6"/>
  <c r="F38" i="6"/>
  <c r="O83" i="6"/>
  <c r="O90" i="6" s="1"/>
  <c r="AV84" i="6"/>
  <c r="AV91" i="6" s="1"/>
  <c r="AF83" i="6"/>
  <c r="AF90" i="6" s="1"/>
  <c r="Y83" i="6"/>
  <c r="Y90" i="6" s="1"/>
  <c r="AZ47" i="6"/>
  <c r="C47" i="6"/>
  <c r="BA47" i="6"/>
  <c r="D47" i="6"/>
  <c r="BB47" i="6"/>
  <c r="E47" i="6"/>
  <c r="BC47" i="6"/>
  <c r="F47" i="6"/>
  <c r="BD47" i="6"/>
  <c r="AY47" i="6"/>
  <c r="AU47" i="6"/>
  <c r="M47" i="6"/>
  <c r="AR47" i="6"/>
  <c r="AW47" i="6"/>
  <c r="G47" i="6"/>
  <c r="H47" i="6"/>
  <c r="L47" i="6"/>
  <c r="K47" i="6"/>
  <c r="J47" i="6"/>
  <c r="AT47" i="6"/>
  <c r="AX47" i="6"/>
  <c r="AV47" i="6"/>
  <c r="I47" i="6"/>
  <c r="AS47" i="6"/>
  <c r="AM86" i="6"/>
  <c r="AM93" i="6" s="1"/>
  <c r="K83" i="6"/>
  <c r="K90" i="6" s="1"/>
  <c r="L86" i="6"/>
  <c r="L93" i="6" s="1"/>
  <c r="I83" i="6"/>
  <c r="I90" i="6" s="1"/>
  <c r="AE83" i="6"/>
  <c r="AE90" i="6" s="1"/>
  <c r="AA86" i="6"/>
  <c r="AA93" i="6" s="1"/>
  <c r="U83" i="6"/>
  <c r="U90" i="6" s="1"/>
  <c r="AC83" i="6"/>
  <c r="AC90" i="6" s="1"/>
  <c r="C83" i="6"/>
  <c r="C90" i="6" s="1"/>
  <c r="AI83" i="6"/>
  <c r="AI90" i="6" s="1"/>
  <c r="P83" i="6"/>
  <c r="P90" i="6" s="1"/>
  <c r="BD86" i="6"/>
  <c r="BD93" i="6" s="1"/>
  <c r="G86" i="6"/>
  <c r="G93" i="6" s="1"/>
  <c r="AM83" i="6"/>
  <c r="AM90" i="6" s="1"/>
  <c r="AN83" i="6"/>
  <c r="AN90" i="6" s="1"/>
  <c r="AD83" i="6"/>
  <c r="AD90" i="6" s="1"/>
  <c r="W83" i="6"/>
  <c r="W90" i="6" s="1"/>
  <c r="AA84" i="6"/>
  <c r="AA91" i="6" s="1"/>
  <c r="H86" i="6"/>
  <c r="H93" i="6" s="1"/>
  <c r="BB86" i="6"/>
  <c r="BB93" i="6" s="1"/>
  <c r="BA85" i="6"/>
  <c r="BA92" i="6" s="1"/>
  <c r="AR83" i="6"/>
  <c r="AR90" i="6" s="1"/>
  <c r="X83" i="6"/>
  <c r="X90" i="6" s="1"/>
  <c r="AG83" i="6"/>
  <c r="AG90" i="6" s="1"/>
  <c r="AH83" i="6"/>
  <c r="AH90" i="6" s="1"/>
  <c r="AA83" i="6"/>
  <c r="AA90" i="6" s="1"/>
  <c r="AW83" i="6"/>
  <c r="AW90" i="6" s="1"/>
  <c r="J83" i="6"/>
  <c r="J90" i="6" s="1"/>
  <c r="R84" i="6"/>
  <c r="R91" i="6" s="1"/>
  <c r="V86" i="6"/>
  <c r="V93" i="6" s="1"/>
  <c r="K84" i="6"/>
  <c r="K91" i="6" s="1"/>
  <c r="AP84" i="6"/>
  <c r="AP91" i="6" s="1"/>
  <c r="D86" i="6"/>
  <c r="D93" i="6" s="1"/>
  <c r="BC86" i="6"/>
  <c r="BC93" i="6" s="1"/>
  <c r="C86" i="6"/>
  <c r="C93" i="6" s="1"/>
  <c r="K86" i="6"/>
  <c r="K93" i="6" s="1"/>
  <c r="R86" i="6"/>
  <c r="R93" i="6" s="1"/>
  <c r="AU86" i="6"/>
  <c r="AU93" i="6" s="1"/>
  <c r="C84" i="6"/>
  <c r="C91" i="6" s="1"/>
  <c r="Q86" i="6"/>
  <c r="Q93" i="6" s="1"/>
  <c r="M86" i="6"/>
  <c r="M93" i="6" s="1"/>
  <c r="AQ83" i="6"/>
  <c r="AQ90" i="6" s="1"/>
  <c r="AO83" i="6"/>
  <c r="AO90" i="6" s="1"/>
  <c r="U86" i="6"/>
  <c r="U93" i="6" s="1"/>
  <c r="F86" i="6"/>
  <c r="F93" i="6" s="1"/>
  <c r="AF86" i="6"/>
  <c r="AF93" i="6" s="1"/>
  <c r="H83" i="6"/>
  <c r="H90" i="6" s="1"/>
  <c r="BB83" i="6"/>
  <c r="BB90" i="6" s="1"/>
  <c r="AF84" i="6"/>
  <c r="AF91" i="6" s="1"/>
  <c r="AC84" i="6"/>
  <c r="AC91" i="6" s="1"/>
  <c r="AZ83" i="6"/>
  <c r="AZ90" i="6" s="1"/>
  <c r="F83" i="6"/>
  <c r="F90" i="6" s="1"/>
  <c r="BE83" i="6"/>
  <c r="BE90" i="6" s="1"/>
  <c r="Z83" i="6"/>
  <c r="Z90" i="6" s="1"/>
  <c r="S83" i="6"/>
  <c r="S90" i="6" s="1"/>
  <c r="AU84" i="6"/>
  <c r="AU91" i="6" s="1"/>
  <c r="AR86" i="6"/>
  <c r="AR93" i="6" s="1"/>
  <c r="H84" i="6"/>
  <c r="H91" i="6" s="1"/>
  <c r="BC84" i="6"/>
  <c r="BC91" i="6" s="1"/>
  <c r="Q85" i="6"/>
  <c r="Q92" i="6" s="1"/>
  <c r="AS86" i="6"/>
  <c r="AS93" i="6" s="1"/>
  <c r="N84" i="6"/>
  <c r="N91" i="6" s="1"/>
  <c r="F84" i="6"/>
  <c r="F91" i="6" s="1"/>
  <c r="AN84" i="6"/>
  <c r="AN91" i="6" s="1"/>
  <c r="O84" i="6"/>
  <c r="O91" i="6" s="1"/>
  <c r="Y85" i="6"/>
  <c r="Y92" i="6" s="1"/>
  <c r="U85" i="6"/>
  <c r="U92" i="6" s="1"/>
  <c r="AJ86" i="6"/>
  <c r="AJ93" i="6" s="1"/>
  <c r="W86" i="6"/>
  <c r="W93" i="6" s="1"/>
  <c r="AX86" i="6"/>
  <c r="AX93" i="6" s="1"/>
  <c r="AN86" i="6"/>
  <c r="AN93" i="6" s="1"/>
  <c r="N86" i="6"/>
  <c r="N93" i="6" s="1"/>
  <c r="Y86" i="6"/>
  <c r="Y93" i="6" s="1"/>
  <c r="P84" i="6"/>
  <c r="P91" i="6" s="1"/>
  <c r="BE84" i="6"/>
  <c r="BE91" i="6" s="1"/>
  <c r="AZ84" i="6"/>
  <c r="AZ91" i="6" s="1"/>
  <c r="AE84" i="6"/>
  <c r="AE91" i="6" s="1"/>
  <c r="B84" i="6"/>
  <c r="B91" i="6" s="1"/>
  <c r="AR84" i="6"/>
  <c r="AR91" i="6" s="1"/>
  <c r="Z84" i="6"/>
  <c r="Z91" i="6" s="1"/>
  <c r="T84" i="6"/>
  <c r="T91" i="6" s="1"/>
  <c r="S84" i="6"/>
  <c r="S91" i="6" s="1"/>
  <c r="S86" i="6"/>
  <c r="S93" i="6" s="1"/>
  <c r="P86" i="6"/>
  <c r="P93" i="6" s="1"/>
  <c r="AK84" i="6"/>
  <c r="AK91" i="6" s="1"/>
  <c r="AM85" i="6"/>
  <c r="AM92" i="6" s="1"/>
  <c r="C85" i="6"/>
  <c r="C92" i="6" s="1"/>
  <c r="O86" i="6"/>
  <c r="O93" i="6" s="1"/>
  <c r="AD86" i="6"/>
  <c r="AD93" i="6" s="1"/>
  <c r="AI86" i="6"/>
  <c r="AI93" i="6" s="1"/>
  <c r="AK86" i="6"/>
  <c r="AK93" i="6" s="1"/>
  <c r="X86" i="6"/>
  <c r="X93" i="6" s="1"/>
  <c r="J86" i="6"/>
  <c r="J93" i="6" s="1"/>
  <c r="AE86" i="6"/>
  <c r="AE93" i="6" s="1"/>
  <c r="AZ86" i="6"/>
  <c r="AZ93" i="6" s="1"/>
  <c r="AP86" i="6"/>
  <c r="AP93" i="6" s="1"/>
  <c r="AT83" i="6"/>
  <c r="AT90" i="6" s="1"/>
  <c r="R83" i="6"/>
  <c r="R90" i="6" s="1"/>
  <c r="AP83" i="6"/>
  <c r="AP90" i="6" s="1"/>
  <c r="AG84" i="6"/>
  <c r="AG91" i="6" s="1"/>
  <c r="AI84" i="6"/>
  <c r="AI91" i="6" s="1"/>
  <c r="AB83" i="6"/>
  <c r="AB90" i="6" s="1"/>
  <c r="AL83" i="6"/>
  <c r="AL90" i="6" s="1"/>
  <c r="AB84" i="6"/>
  <c r="AB91" i="6" s="1"/>
  <c r="E84" i="6"/>
  <c r="E91" i="6" s="1"/>
  <c r="T83" i="6"/>
  <c r="T90" i="6" s="1"/>
  <c r="B83" i="6"/>
  <c r="B90" i="6" s="1"/>
  <c r="X84" i="6"/>
  <c r="X91" i="6" s="1"/>
  <c r="Y84" i="6"/>
  <c r="Y91" i="6" s="1"/>
  <c r="AY83" i="6"/>
  <c r="AY90" i="6" s="1"/>
  <c r="V83" i="6"/>
  <c r="V90" i="6" s="1"/>
  <c r="V84" i="6"/>
  <c r="V91" i="6" s="1"/>
  <c r="AS84" i="6"/>
  <c r="AS91" i="6" s="1"/>
  <c r="AW86" i="6"/>
  <c r="AW93" i="6" s="1"/>
  <c r="AT86" i="6"/>
  <c r="AT93" i="6" s="1"/>
  <c r="AM84" i="6"/>
  <c r="AM91" i="6" s="1"/>
  <c r="AV85" i="6"/>
  <c r="AV92" i="6" s="1"/>
  <c r="AO85" i="6"/>
  <c r="AO92" i="6" s="1"/>
  <c r="AO86" i="6"/>
  <c r="AO93" i="6" s="1"/>
  <c r="B86" i="6"/>
  <c r="B93" i="6" s="1"/>
  <c r="AH84" i="6"/>
  <c r="AH91" i="6" s="1"/>
  <c r="BA84" i="6"/>
  <c r="BA91" i="6" s="1"/>
  <c r="W84" i="6"/>
  <c r="W91" i="6" s="1"/>
  <c r="BA86" i="6"/>
  <c r="BA93" i="6" s="1"/>
  <c r="AY86" i="6"/>
  <c r="AY93" i="6" s="1"/>
  <c r="E86" i="6"/>
  <c r="E93" i="6" s="1"/>
  <c r="G84" i="6"/>
  <c r="G91" i="6" s="1"/>
  <c r="I78" i="9"/>
  <c r="G11" i="4" s="1"/>
  <c r="H6" i="4" s="1"/>
  <c r="BB84" i="6"/>
  <c r="BB91" i="6" s="1"/>
  <c r="U84" i="6"/>
  <c r="U91" i="6" s="1"/>
  <c r="AX84" i="6"/>
  <c r="AX91" i="6" s="1"/>
  <c r="D83" i="6"/>
  <c r="D90" i="6" s="1"/>
  <c r="G83" i="6"/>
  <c r="G90" i="6" s="1"/>
  <c r="E83" i="6"/>
  <c r="E90" i="6" s="1"/>
  <c r="AL84" i="6"/>
  <c r="AL91" i="6" s="1"/>
  <c r="AD84" i="6"/>
  <c r="AD91" i="6" s="1"/>
  <c r="AV83" i="6"/>
  <c r="AV90" i="6" s="1"/>
  <c r="BC83" i="6"/>
  <c r="BC90" i="6" s="1"/>
  <c r="BA83" i="6"/>
  <c r="BA90" i="6" s="1"/>
  <c r="D84" i="6"/>
  <c r="D91" i="6" s="1"/>
  <c r="AY84" i="6"/>
  <c r="AY91" i="6" s="1"/>
  <c r="AJ83" i="6"/>
  <c r="AJ90" i="6" s="1"/>
  <c r="AX83" i="6"/>
  <c r="AX90" i="6" s="1"/>
  <c r="AU83" i="6"/>
  <c r="AU90" i="6" s="1"/>
  <c r="AW84" i="6"/>
  <c r="AW91" i="6" s="1"/>
  <c r="AT84" i="6"/>
  <c r="AT91" i="6" s="1"/>
  <c r="M83" i="6"/>
  <c r="M90" i="6" s="1"/>
  <c r="AF85" i="6"/>
  <c r="AF92" i="6" s="1"/>
  <c r="G85" i="6"/>
  <c r="G92" i="6" s="1"/>
  <c r="Q83" i="6"/>
  <c r="Q90" i="6" s="1"/>
  <c r="N83" i="6"/>
  <c r="N90" i="6" s="1"/>
  <c r="AJ84" i="6"/>
  <c r="AJ91" i="6" s="1"/>
  <c r="P85" i="6"/>
  <c r="P92" i="6" s="1"/>
  <c r="AC85" i="6"/>
  <c r="AC92" i="6" s="1"/>
  <c r="AT85" i="6"/>
  <c r="AT92" i="6" s="1"/>
  <c r="Z86" i="6"/>
  <c r="Z93" i="6" s="1"/>
  <c r="AG86" i="6"/>
  <c r="AG93" i="6" s="1"/>
  <c r="AC86" i="6"/>
  <c r="AC93" i="6" s="1"/>
  <c r="AK83" i="6"/>
  <c r="AK90" i="6" s="1"/>
  <c r="BD83" i="6"/>
  <c r="BD90" i="6" s="1"/>
  <c r="AS83" i="6"/>
  <c r="AS90" i="6" s="1"/>
  <c r="I86" i="6"/>
  <c r="I93" i="6" s="1"/>
  <c r="AL86" i="6"/>
  <c r="AL93" i="6" s="1"/>
  <c r="AB86" i="6"/>
  <c r="AB93" i="6" s="1"/>
  <c r="AH86" i="6"/>
  <c r="AH93" i="6" s="1"/>
  <c r="BE86" i="6"/>
  <c r="BE93" i="6" s="1"/>
  <c r="AV86" i="6"/>
  <c r="AV93" i="6" s="1"/>
  <c r="AQ86" i="6"/>
  <c r="AQ93" i="6" s="1"/>
  <c r="J84" i="6"/>
  <c r="J91" i="6" s="1"/>
  <c r="BC85" i="6"/>
  <c r="BC92" i="6" s="1"/>
  <c r="AO84" i="6"/>
  <c r="AO91" i="6" s="1"/>
  <c r="AZ85" i="6"/>
  <c r="AZ92" i="6" s="1"/>
  <c r="AD85" i="6"/>
  <c r="AD92" i="6" s="1"/>
  <c r="AW85" i="6"/>
  <c r="AW92" i="6" s="1"/>
  <c r="E85" i="6"/>
  <c r="E92" i="6" s="1"/>
  <c r="S85" i="6"/>
  <c r="S92" i="6" s="1"/>
  <c r="AG85" i="6"/>
  <c r="AG92" i="6" s="1"/>
  <c r="M84" i="6"/>
  <c r="M91" i="6" s="1"/>
  <c r="T85" i="6"/>
  <c r="T92" i="6" s="1"/>
  <c r="B85" i="6"/>
  <c r="B92" i="6" s="1"/>
  <c r="O85" i="6"/>
  <c r="O92" i="6" s="1"/>
  <c r="AQ84" i="6"/>
  <c r="AQ91" i="6" s="1"/>
  <c r="I84" i="6"/>
  <c r="I91" i="6" s="1"/>
  <c r="AQ85" i="6"/>
  <c r="AQ92" i="6" s="1"/>
  <c r="AR85" i="6"/>
  <c r="AR92" i="6" s="1"/>
  <c r="D85" i="6"/>
  <c r="D92" i="6" s="1"/>
  <c r="AP85" i="6"/>
  <c r="AP92" i="6" s="1"/>
  <c r="Z85" i="6"/>
  <c r="Z92" i="6" s="1"/>
  <c r="AN85" i="6"/>
  <c r="AN92" i="6" s="1"/>
  <c r="N85" i="6"/>
  <c r="N92" i="6" s="1"/>
  <c r="BB85" i="6"/>
  <c r="BB92" i="6" s="1"/>
  <c r="Q84" i="6"/>
  <c r="Q91" i="6" s="1"/>
  <c r="AH85" i="6"/>
  <c r="AH92" i="6" s="1"/>
  <c r="AY85" i="6"/>
  <c r="AY92" i="6" s="1"/>
  <c r="BD85" i="6"/>
  <c r="BD92" i="6" s="1"/>
  <c r="AJ85" i="6"/>
  <c r="AJ92" i="6" s="1"/>
  <c r="L85" i="6"/>
  <c r="L92" i="6" s="1"/>
  <c r="AK85" i="6"/>
  <c r="AK92" i="6" s="1"/>
  <c r="I85" i="6"/>
  <c r="I92" i="6" s="1"/>
  <c r="W85" i="6"/>
  <c r="W92" i="6" s="1"/>
  <c r="BE85" i="6"/>
  <c r="BE92" i="6" s="1"/>
  <c r="V85" i="6"/>
  <c r="V92" i="6" s="1"/>
  <c r="AL85" i="6"/>
  <c r="AL92" i="6" s="1"/>
  <c r="J85" i="6"/>
  <c r="J92" i="6" s="1"/>
  <c r="L84" i="6"/>
  <c r="L91" i="6" s="1"/>
  <c r="AU85" i="6"/>
  <c r="AU92" i="6" s="1"/>
  <c r="AB85" i="6"/>
  <c r="AB92" i="6" s="1"/>
  <c r="H85" i="6"/>
  <c r="H92" i="6" s="1"/>
  <c r="AX85" i="6"/>
  <c r="AX92" i="6" s="1"/>
  <c r="R85" i="6"/>
  <c r="R92" i="6" s="1"/>
  <c r="K85" i="6"/>
  <c r="K92" i="6" s="1"/>
  <c r="AE85" i="6"/>
  <c r="AE92" i="6" s="1"/>
  <c r="X85" i="6"/>
  <c r="X92" i="6" s="1"/>
  <c r="M85" i="6"/>
  <c r="M92" i="6" s="1"/>
  <c r="F85" i="6"/>
  <c r="F92" i="6" s="1"/>
  <c r="AI85" i="6"/>
  <c r="AI92" i="6" s="1"/>
  <c r="AS85" i="6"/>
  <c r="AS92" i="6" s="1"/>
  <c r="AA85" i="6"/>
  <c r="AA92" i="6" s="1"/>
  <c r="BD84" i="6"/>
  <c r="BD91" i="6" s="1"/>
  <c r="D44" i="4"/>
  <c r="C44" i="6"/>
  <c r="C45" i="6" s="1"/>
  <c r="E44" i="6"/>
  <c r="E45" i="6" s="1"/>
  <c r="B47" i="6"/>
  <c r="B44" i="6"/>
  <c r="B45" i="6" s="1"/>
  <c r="F44" i="6"/>
  <c r="F45" i="6" s="1"/>
  <c r="L33" i="6" l="1"/>
  <c r="M33" i="6" s="1"/>
  <c r="N33" i="6" s="1"/>
  <c r="O33" i="6" s="1"/>
  <c r="E42" i="7"/>
  <c r="H69" i="3" s="1"/>
  <c r="F42" i="7"/>
  <c r="J69" i="3" s="1"/>
  <c r="D42" i="7"/>
  <c r="F69" i="3" s="1"/>
  <c r="C49" i="7"/>
  <c r="AQ15" i="6"/>
  <c r="B44" i="7"/>
  <c r="B43" i="7"/>
  <c r="B45" i="7"/>
  <c r="AF15" i="6"/>
  <c r="AE15" i="6"/>
  <c r="Y35" i="6"/>
  <c r="AD35" i="6"/>
  <c r="AM15" i="6"/>
  <c r="AI15" i="6"/>
  <c r="AN15" i="6"/>
  <c r="AB15" i="6"/>
  <c r="X21" i="6"/>
  <c r="S15" i="6"/>
  <c r="AC15" i="6"/>
  <c r="X15" i="6"/>
  <c r="Q15" i="6"/>
  <c r="U35" i="6"/>
  <c r="W35" i="6"/>
  <c r="AG35" i="6"/>
  <c r="BI19" i="6"/>
  <c r="C32" i="4" s="1"/>
  <c r="C33" i="4" s="1"/>
  <c r="AP15" i="6"/>
  <c r="BI16" i="6"/>
  <c r="BO26" i="6" s="1"/>
  <c r="BI17" i="6"/>
  <c r="R35" i="6"/>
  <c r="BI18" i="6"/>
  <c r="N78" i="9" s="1"/>
  <c r="B46" i="7"/>
  <c r="K33" i="6"/>
  <c r="G33" i="6"/>
  <c r="D33" i="6"/>
  <c r="J33" i="6"/>
  <c r="E33" i="6"/>
  <c r="BB21" i="6"/>
  <c r="AV21" i="6"/>
  <c r="AM21" i="6"/>
  <c r="W21" i="6"/>
  <c r="AP21" i="6"/>
  <c r="E21" i="6"/>
  <c r="AT21" i="6"/>
  <c r="AN21" i="6"/>
  <c r="BE21" i="6"/>
  <c r="AA21" i="6"/>
  <c r="BG21" i="6"/>
  <c r="S21" i="6"/>
  <c r="Z21" i="6"/>
  <c r="BC21" i="6"/>
  <c r="AZ21" i="6"/>
  <c r="AR21" i="6"/>
  <c r="N21" i="6"/>
  <c r="BD21" i="6"/>
  <c r="K21" i="6"/>
  <c r="AI21" i="6"/>
  <c r="P21" i="6"/>
  <c r="AJ21" i="6"/>
  <c r="AF21" i="6"/>
  <c r="AH21" i="6"/>
  <c r="Q21" i="6"/>
  <c r="V21" i="6"/>
  <c r="Y21" i="6"/>
  <c r="AG21" i="6"/>
  <c r="D21" i="6"/>
  <c r="C21" i="6"/>
  <c r="AS21" i="6"/>
  <c r="O21" i="6"/>
  <c r="I21" i="6"/>
  <c r="B21" i="6"/>
  <c r="AX21" i="6"/>
  <c r="L21" i="6"/>
  <c r="AW21" i="6"/>
  <c r="G21" i="6"/>
  <c r="AU21" i="6"/>
  <c r="AO21" i="6"/>
  <c r="M21" i="6"/>
  <c r="AE21" i="6"/>
  <c r="AQ21" i="6"/>
  <c r="AB21" i="6"/>
  <c r="BH21" i="6"/>
  <c r="AY21" i="6"/>
  <c r="J21" i="6"/>
  <c r="AD21" i="6"/>
  <c r="U21" i="6"/>
  <c r="BA21" i="6"/>
  <c r="AK21" i="6"/>
  <c r="R21" i="6"/>
  <c r="BF21" i="6"/>
  <c r="AL21" i="6"/>
  <c r="F21" i="6"/>
  <c r="AC21" i="6"/>
  <c r="T21" i="6"/>
  <c r="H21" i="6"/>
  <c r="C33" i="6"/>
  <c r="H33" i="6"/>
  <c r="I33" i="6"/>
  <c r="BF94" i="6"/>
  <c r="D73" i="3" s="1"/>
  <c r="H27" i="6"/>
  <c r="H38" i="6" s="1"/>
  <c r="G40" i="6"/>
  <c r="G39" i="6" s="1"/>
  <c r="N36" i="6"/>
  <c r="N37" i="6" s="1"/>
  <c r="N46" i="6" s="1"/>
  <c r="N47" i="6" s="1"/>
  <c r="N48" i="6" s="1"/>
  <c r="O36" i="6"/>
  <c r="O37" i="6" s="1"/>
  <c r="BI20" i="6"/>
  <c r="BH48" i="6"/>
  <c r="BF48" i="6"/>
  <c r="BE48" i="6"/>
  <c r="BG48" i="6"/>
  <c r="AV48" i="6"/>
  <c r="K48" i="6"/>
  <c r="AW48" i="6"/>
  <c r="AY48" i="6"/>
  <c r="E48" i="6"/>
  <c r="AX48" i="6"/>
  <c r="L48" i="6"/>
  <c r="AR48" i="6"/>
  <c r="BD48" i="6"/>
  <c r="BB48" i="6"/>
  <c r="B48" i="6"/>
  <c r="I48" i="6"/>
  <c r="J48" i="6"/>
  <c r="G48" i="6"/>
  <c r="AU48" i="6"/>
  <c r="BC48" i="6"/>
  <c r="BA48" i="6"/>
  <c r="C48" i="6"/>
  <c r="AZ48" i="6"/>
  <c r="AS48" i="6"/>
  <c r="AT48" i="6"/>
  <c r="H48" i="6"/>
  <c r="M48" i="6"/>
  <c r="F48" i="6"/>
  <c r="D48" i="6"/>
  <c r="M80" i="9"/>
  <c r="N80" i="9" s="1"/>
  <c r="BF91" i="6"/>
  <c r="F76" i="6" s="1"/>
  <c r="BF90" i="6"/>
  <c r="D69" i="3" s="1"/>
  <c r="F110" i="4"/>
  <c r="F109" i="4"/>
  <c r="F111" i="4"/>
  <c r="E112" i="4"/>
  <c r="BF93" i="6"/>
  <c r="B102" i="6" s="1"/>
  <c r="P33" i="6"/>
  <c r="BF92" i="6"/>
  <c r="F108" i="4"/>
  <c r="H108" i="4" s="1"/>
  <c r="J108" i="4" s="1"/>
  <c r="E56" i="4"/>
  <c r="C85" i="4"/>
  <c r="C89" i="4"/>
  <c r="F107" i="4"/>
  <c r="I107" i="4" s="1"/>
  <c r="G56" i="4"/>
  <c r="H56" i="4"/>
  <c r="I56" i="4"/>
  <c r="F44" i="7" l="1"/>
  <c r="J71" i="3" s="1"/>
  <c r="E44" i="7"/>
  <c r="H71" i="3" s="1"/>
  <c r="D44" i="7"/>
  <c r="F71" i="3" s="1"/>
  <c r="D45" i="7"/>
  <c r="F72" i="3" s="1"/>
  <c r="F45" i="7"/>
  <c r="J72" i="3" s="1"/>
  <c r="E45" i="7"/>
  <c r="H72" i="3" s="1"/>
  <c r="D46" i="7"/>
  <c r="F73" i="3" s="1"/>
  <c r="E46" i="7"/>
  <c r="H73" i="3" s="1"/>
  <c r="F46" i="7"/>
  <c r="J73" i="3" s="1"/>
  <c r="E43" i="7"/>
  <c r="H70" i="3" s="1"/>
  <c r="F43" i="7"/>
  <c r="J70" i="3" s="1"/>
  <c r="D43" i="7"/>
  <c r="F70" i="3" s="1"/>
  <c r="D49" i="7"/>
  <c r="F75" i="3" s="1"/>
  <c r="B103" i="6"/>
  <c r="C30" i="4"/>
  <c r="C31" i="4" s="1"/>
  <c r="D49" i="4"/>
  <c r="BI21" i="6"/>
  <c r="D50" i="4" s="1"/>
  <c r="D54" i="4" s="1"/>
  <c r="F78" i="6"/>
  <c r="D72" i="3"/>
  <c r="I27" i="6"/>
  <c r="J27" i="6" s="1"/>
  <c r="H40" i="6"/>
  <c r="H39" i="6" s="1"/>
  <c r="F49" i="7"/>
  <c r="J75" i="3" s="1"/>
  <c r="E49" i="7"/>
  <c r="H75" i="3" s="1"/>
  <c r="N43" i="6"/>
  <c r="O46" i="6"/>
  <c r="O47" i="6" s="1"/>
  <c r="O48" i="6" s="1"/>
  <c r="O43" i="6"/>
  <c r="Q33" i="6"/>
  <c r="Q36" i="6" s="1"/>
  <c r="Q37" i="6" s="1"/>
  <c r="P36" i="6"/>
  <c r="P37" i="6" s="1"/>
  <c r="G44" i="6"/>
  <c r="G74" i="6"/>
  <c r="H74" i="6" s="1"/>
  <c r="I74" i="6" s="1"/>
  <c r="J74" i="6" s="1"/>
  <c r="K74" i="6" s="1"/>
  <c r="L74" i="6" s="1"/>
  <c r="M74" i="6" s="1"/>
  <c r="N74" i="6" s="1"/>
  <c r="B99" i="6"/>
  <c r="B100" i="6"/>
  <c r="D70" i="3"/>
  <c r="H109" i="4"/>
  <c r="J109" i="4" s="1"/>
  <c r="I109" i="4"/>
  <c r="I110" i="4"/>
  <c r="H110" i="4"/>
  <c r="J110" i="4" s="1"/>
  <c r="F77" i="6"/>
  <c r="BF96" i="6"/>
  <c r="B101" i="6"/>
  <c r="D71" i="3"/>
  <c r="I108" i="4"/>
  <c r="C90" i="4"/>
  <c r="C91" i="4"/>
  <c r="C86" i="4"/>
  <c r="C87" i="4"/>
  <c r="H107" i="4"/>
  <c r="J107" i="4" s="1"/>
  <c r="H111" i="4"/>
  <c r="J111" i="4" s="1"/>
  <c r="I111" i="4"/>
  <c r="H44" i="6"/>
  <c r="H45" i="6" s="1"/>
  <c r="I38" i="6" l="1"/>
  <c r="I40" i="6"/>
  <c r="I39" i="6" s="1"/>
  <c r="R33" i="6"/>
  <c r="R36" i="6" s="1"/>
  <c r="R37" i="6" s="1"/>
  <c r="P43" i="6"/>
  <c r="P46" i="6"/>
  <c r="P47" i="6" s="1"/>
  <c r="P48" i="6" s="1"/>
  <c r="Q43" i="6"/>
  <c r="Q46" i="6"/>
  <c r="Q47" i="6" s="1"/>
  <c r="Q48" i="6" s="1"/>
  <c r="G45" i="6"/>
  <c r="F75" i="6"/>
  <c r="O74" i="6"/>
  <c r="J38" i="6"/>
  <c r="J40" i="6"/>
  <c r="J39" i="6" s="1"/>
  <c r="K27" i="6"/>
  <c r="D97" i="4"/>
  <c r="D99" i="4" s="1"/>
  <c r="H112" i="4"/>
  <c r="I44" i="6"/>
  <c r="S33" i="6" l="1"/>
  <c r="S36" i="6" s="1"/>
  <c r="S37" i="6" s="1"/>
  <c r="R43" i="6"/>
  <c r="R46" i="6"/>
  <c r="R47" i="6" s="1"/>
  <c r="R48" i="6" s="1"/>
  <c r="I45" i="6"/>
  <c r="K40" i="6"/>
  <c r="K39" i="6" s="1"/>
  <c r="K38" i="6"/>
  <c r="L27" i="6"/>
  <c r="F56" i="4"/>
  <c r="C56" i="4"/>
  <c r="J44" i="6"/>
  <c r="J45" i="6" s="1"/>
  <c r="T33" i="6" l="1"/>
  <c r="T36" i="6" s="1"/>
  <c r="T37" i="6" s="1"/>
  <c r="S46" i="6"/>
  <c r="S47" i="6" s="1"/>
  <c r="S48" i="6" s="1"/>
  <c r="S43" i="6"/>
  <c r="M27" i="6"/>
  <c r="L40" i="6"/>
  <c r="L39" i="6" s="1"/>
  <c r="L38" i="6"/>
  <c r="U33" i="6" l="1"/>
  <c r="U36" i="6" s="1"/>
  <c r="U37" i="6" s="1"/>
  <c r="T43" i="6"/>
  <c r="T46" i="6"/>
  <c r="T47" i="6" s="1"/>
  <c r="T48" i="6" s="1"/>
  <c r="K44" i="6"/>
  <c r="N27" i="6"/>
  <c r="O27" i="6" s="1"/>
  <c r="P27" i="6" s="1"/>
  <c r="Q27" i="6" s="1"/>
  <c r="R27" i="6" s="1"/>
  <c r="S27" i="6" s="1"/>
  <c r="T27" i="6" s="1"/>
  <c r="U27" i="6" s="1"/>
  <c r="V27" i="6" s="1"/>
  <c r="W27" i="6" s="1"/>
  <c r="X27" i="6" s="1"/>
  <c r="Y27" i="6" s="1"/>
  <c r="Z27" i="6" s="1"/>
  <c r="M40" i="6"/>
  <c r="M39" i="6" s="1"/>
  <c r="M38" i="6"/>
  <c r="L44" i="6"/>
  <c r="L45" i="6" s="1"/>
  <c r="V33" i="6" l="1"/>
  <c r="V36" i="6" s="1"/>
  <c r="V37" i="6" s="1"/>
  <c r="U43" i="6"/>
  <c r="U46" i="6"/>
  <c r="U47" i="6" s="1"/>
  <c r="U48" i="6" s="1"/>
  <c r="K45" i="6"/>
  <c r="AA27" i="6"/>
  <c r="AB27" i="6" s="1"/>
  <c r="AC27" i="6" s="1"/>
  <c r="AD27" i="6" s="1"/>
  <c r="AE27" i="6" s="1"/>
  <c r="AF27" i="6" s="1"/>
  <c r="AG27" i="6" s="1"/>
  <c r="AH27" i="6" s="1"/>
  <c r="AI27" i="6" s="1"/>
  <c r="AJ27" i="6" s="1"/>
  <c r="AK27" i="6" s="1"/>
  <c r="AL27" i="6" s="1"/>
  <c r="AM27" i="6" s="1"/>
  <c r="AN27" i="6" s="1"/>
  <c r="AO27" i="6" s="1"/>
  <c r="AP27" i="6" s="1"/>
  <c r="AQ27" i="6" s="1"/>
  <c r="AR27" i="6" s="1"/>
  <c r="AR40" i="6" s="1"/>
  <c r="AR39" i="6" s="1"/>
  <c r="N40" i="6"/>
  <c r="N39" i="6" l="1"/>
  <c r="N38" i="6" s="1"/>
  <c r="W33" i="6"/>
  <c r="W36" i="6" s="1"/>
  <c r="W37" i="6" s="1"/>
  <c r="V43" i="6"/>
  <c r="V46" i="6"/>
  <c r="V47" i="6" s="1"/>
  <c r="V48" i="6" s="1"/>
  <c r="M44" i="6"/>
  <c r="M45" i="6" s="1"/>
  <c r="AS27" i="6"/>
  <c r="AT27" i="6" s="1"/>
  <c r="O40" i="6"/>
  <c r="N44" i="6"/>
  <c r="N45" i="6" s="1"/>
  <c r="O39" i="6" l="1"/>
  <c r="O38" i="6" s="1"/>
  <c r="X33" i="6"/>
  <c r="X36" i="6" s="1"/>
  <c r="X37" i="6" s="1"/>
  <c r="W46" i="6"/>
  <c r="W47" i="6" s="1"/>
  <c r="W48" i="6" s="1"/>
  <c r="W43" i="6"/>
  <c r="AS40" i="6"/>
  <c r="AS39" i="6" s="1"/>
  <c r="AT40" i="6"/>
  <c r="AT39" i="6" s="1"/>
  <c r="AU27" i="6"/>
  <c r="P40" i="6"/>
  <c r="O44" i="6"/>
  <c r="O45" i="6" s="1"/>
  <c r="P39" i="6" l="1"/>
  <c r="P38" i="6" s="1"/>
  <c r="Y33" i="6"/>
  <c r="Y36" i="6" s="1"/>
  <c r="Y37" i="6" s="1"/>
  <c r="X46" i="6"/>
  <c r="X47" i="6" s="1"/>
  <c r="X48" i="6" s="1"/>
  <c r="X43" i="6"/>
  <c r="AU40" i="6"/>
  <c r="AU39" i="6" s="1"/>
  <c r="AV27" i="6"/>
  <c r="P44" i="6"/>
  <c r="P45" i="6" s="1"/>
  <c r="Q40" i="6"/>
  <c r="Q39" i="6" l="1"/>
  <c r="Q38" i="6" s="1"/>
  <c r="Z33" i="6"/>
  <c r="Z36" i="6" s="1"/>
  <c r="Z37" i="6" s="1"/>
  <c r="Y43" i="6"/>
  <c r="Y46" i="6"/>
  <c r="Y47" i="6" s="1"/>
  <c r="Y48" i="6" s="1"/>
  <c r="AW27" i="6"/>
  <c r="AV40" i="6"/>
  <c r="AV39" i="6" s="1"/>
  <c r="Q44" i="6"/>
  <c r="Q45" i="6" s="1"/>
  <c r="R40" i="6"/>
  <c r="R39" i="6" l="1"/>
  <c r="R38" i="6" s="1"/>
  <c r="AA33" i="6"/>
  <c r="AA36" i="6" s="1"/>
  <c r="AA37" i="6" s="1"/>
  <c r="Z43" i="6"/>
  <c r="Z46" i="6"/>
  <c r="Z47" i="6" s="1"/>
  <c r="Z48" i="6" s="1"/>
  <c r="AW40" i="6"/>
  <c r="AW39" i="6" s="1"/>
  <c r="AX27" i="6"/>
  <c r="S40" i="6"/>
  <c r="R44" i="6"/>
  <c r="R45" i="6" s="1"/>
  <c r="S39" i="6" l="1"/>
  <c r="S38" i="6" s="1"/>
  <c r="AB33" i="6"/>
  <c r="AB36" i="6" s="1"/>
  <c r="AB37" i="6" s="1"/>
  <c r="AA46" i="6"/>
  <c r="AA47" i="6" s="1"/>
  <c r="AA48" i="6" s="1"/>
  <c r="AA43" i="6"/>
  <c r="AY27" i="6"/>
  <c r="AX38" i="6"/>
  <c r="AX40" i="6"/>
  <c r="AX39" i="6" s="1"/>
  <c r="S44" i="6"/>
  <c r="S45" i="6" s="1"/>
  <c r="T40" i="6"/>
  <c r="T39" i="6" l="1"/>
  <c r="T38" i="6" s="1"/>
  <c r="AC33" i="6"/>
  <c r="AC36" i="6" s="1"/>
  <c r="AC37" i="6" s="1"/>
  <c r="AB43" i="6"/>
  <c r="AB46" i="6"/>
  <c r="AB47" i="6" s="1"/>
  <c r="AB48" i="6" s="1"/>
  <c r="AY40" i="6"/>
  <c r="AY39" i="6" s="1"/>
  <c r="AY38" i="6"/>
  <c r="AZ27" i="6"/>
  <c r="T44" i="6"/>
  <c r="T45" i="6" s="1"/>
  <c r="U40" i="6"/>
  <c r="U39" i="6" l="1"/>
  <c r="U38" i="6" s="1"/>
  <c r="AD33" i="6"/>
  <c r="AD36" i="6" s="1"/>
  <c r="AD37" i="6" s="1"/>
  <c r="AC43" i="6"/>
  <c r="AC46" i="6"/>
  <c r="AC47" i="6" s="1"/>
  <c r="AC48" i="6" s="1"/>
  <c r="AZ38" i="6"/>
  <c r="BA27" i="6"/>
  <c r="AZ40" i="6"/>
  <c r="AZ39" i="6" s="1"/>
  <c r="U44" i="6"/>
  <c r="U45" i="6" s="1"/>
  <c r="V40" i="6"/>
  <c r="V39" i="6" l="1"/>
  <c r="V38" i="6" s="1"/>
  <c r="AE33" i="6"/>
  <c r="AE36" i="6" s="1"/>
  <c r="AE37" i="6" s="1"/>
  <c r="AD43" i="6"/>
  <c r="AD46" i="6"/>
  <c r="AD47" i="6" s="1"/>
  <c r="AD48" i="6" s="1"/>
  <c r="BB27" i="6"/>
  <c r="BA40" i="6"/>
  <c r="BA39" i="6" s="1"/>
  <c r="BA38" i="6"/>
  <c r="W40" i="6"/>
  <c r="V44" i="6"/>
  <c r="V45" i="6" s="1"/>
  <c r="W39" i="6" l="1"/>
  <c r="W38" i="6" s="1"/>
  <c r="AF33" i="6"/>
  <c r="AF36" i="6" s="1"/>
  <c r="AF37" i="6" s="1"/>
  <c r="AE46" i="6"/>
  <c r="AE47" i="6" s="1"/>
  <c r="AE48" i="6" s="1"/>
  <c r="AE43" i="6"/>
  <c r="BB40" i="6"/>
  <c r="BB39" i="6" s="1"/>
  <c r="BC27" i="6"/>
  <c r="BB38" i="6"/>
  <c r="W44" i="6"/>
  <c r="W45" i="6" s="1"/>
  <c r="X40" i="6"/>
  <c r="X39" i="6" l="1"/>
  <c r="X38" i="6" s="1"/>
  <c r="AG33" i="6"/>
  <c r="AG36" i="6" s="1"/>
  <c r="AG37" i="6" s="1"/>
  <c r="AF46" i="6"/>
  <c r="AF47" i="6" s="1"/>
  <c r="AF48" i="6" s="1"/>
  <c r="AF43" i="6"/>
  <c r="BD27" i="6"/>
  <c r="BE27" i="6" s="1"/>
  <c r="BC38" i="6"/>
  <c r="BC40" i="6"/>
  <c r="BC39" i="6" s="1"/>
  <c r="Y40" i="6"/>
  <c r="X44" i="6"/>
  <c r="X45" i="6" s="1"/>
  <c r="Y39" i="6" l="1"/>
  <c r="Y38" i="6" s="1"/>
  <c r="AH33" i="6"/>
  <c r="AH36" i="6" s="1"/>
  <c r="AH37" i="6" s="1"/>
  <c r="AG43" i="6"/>
  <c r="AG46" i="6"/>
  <c r="AG47" i="6" s="1"/>
  <c r="AG48" i="6" s="1"/>
  <c r="BE38" i="6"/>
  <c r="BF27" i="6"/>
  <c r="BE40" i="6"/>
  <c r="BE39" i="6" s="1"/>
  <c r="BD38" i="6"/>
  <c r="BD40" i="6"/>
  <c r="BD39" i="6" s="1"/>
  <c r="Z40" i="6"/>
  <c r="Y44" i="6"/>
  <c r="Y45" i="6" s="1"/>
  <c r="Z39" i="6" l="1"/>
  <c r="Z38" i="6" s="1"/>
  <c r="AI33" i="6"/>
  <c r="AI36" i="6" s="1"/>
  <c r="AI37" i="6" s="1"/>
  <c r="AH43" i="6"/>
  <c r="AH46" i="6"/>
  <c r="AH47" i="6" s="1"/>
  <c r="AH48" i="6" s="1"/>
  <c r="BF38" i="6"/>
  <c r="BF40" i="6"/>
  <c r="BF39" i="6" s="1"/>
  <c r="BG27" i="6"/>
  <c r="AA40" i="6"/>
  <c r="Z44" i="6"/>
  <c r="Z45" i="6" s="1"/>
  <c r="AA39" i="6" l="1"/>
  <c r="AA38" i="6" s="1"/>
  <c r="AJ33" i="6"/>
  <c r="AJ36" i="6" s="1"/>
  <c r="AJ37" i="6" s="1"/>
  <c r="AJ43" i="6" s="1"/>
  <c r="AI46" i="6"/>
  <c r="AI47" i="6" s="1"/>
  <c r="AI48" i="6" s="1"/>
  <c r="AI43" i="6"/>
  <c r="BH27" i="6"/>
  <c r="BG38" i="6"/>
  <c r="BG40" i="6"/>
  <c r="BG39" i="6" s="1"/>
  <c r="AB40" i="6"/>
  <c r="AA44" i="6"/>
  <c r="AA45" i="6" s="1"/>
  <c r="AB39" i="6" l="1"/>
  <c r="AB38" i="6" s="1"/>
  <c r="AK33" i="6"/>
  <c r="AK36" i="6" s="1"/>
  <c r="AK37" i="6" s="1"/>
  <c r="AJ46" i="6"/>
  <c r="AJ47" i="6" s="1"/>
  <c r="AJ48" i="6" s="1"/>
  <c r="BH38" i="6"/>
  <c r="BH40" i="6"/>
  <c r="BH39" i="6" s="1"/>
  <c r="AC40" i="6"/>
  <c r="AB44" i="6"/>
  <c r="AB45" i="6" s="1"/>
  <c r="AC39" i="6" l="1"/>
  <c r="AC38" i="6" s="1"/>
  <c r="AL33" i="6"/>
  <c r="AL36" i="6" s="1"/>
  <c r="AL37" i="6" s="1"/>
  <c r="AK43" i="6"/>
  <c r="AK46" i="6"/>
  <c r="AK47" i="6" s="1"/>
  <c r="AK48" i="6" s="1"/>
  <c r="AD40" i="6"/>
  <c r="AC44" i="6"/>
  <c r="AC45" i="6" s="1"/>
  <c r="AD39" i="6" l="1"/>
  <c r="AD38" i="6" s="1"/>
  <c r="AM33" i="6"/>
  <c r="AM36" i="6" s="1"/>
  <c r="AM37" i="6" s="1"/>
  <c r="AL43" i="6"/>
  <c r="AL46" i="6"/>
  <c r="AL47" i="6" s="1"/>
  <c r="AL48" i="6" s="1"/>
  <c r="AE40" i="6"/>
  <c r="AD44" i="6"/>
  <c r="AD45" i="6" s="1"/>
  <c r="AE39" i="6" l="1"/>
  <c r="AE38" i="6" s="1"/>
  <c r="AN33" i="6"/>
  <c r="AN36" i="6" s="1"/>
  <c r="AN37" i="6" s="1"/>
  <c r="AM46" i="6"/>
  <c r="AM47" i="6" s="1"/>
  <c r="AM48" i="6" s="1"/>
  <c r="AM43" i="6"/>
  <c r="AF40" i="6"/>
  <c r="AE44" i="6"/>
  <c r="AE45" i="6" s="1"/>
  <c r="AF39" i="6" l="1"/>
  <c r="AF38" i="6" s="1"/>
  <c r="AO33" i="6"/>
  <c r="AO36" i="6" s="1"/>
  <c r="AO37" i="6" s="1"/>
  <c r="AN43" i="6"/>
  <c r="AN46" i="6"/>
  <c r="AN47" i="6" s="1"/>
  <c r="AN48" i="6" s="1"/>
  <c r="AF44" i="6"/>
  <c r="AF45" i="6" s="1"/>
  <c r="AG40" i="6"/>
  <c r="AP33" i="6" l="1"/>
  <c r="AP36" i="6" s="1"/>
  <c r="AP37" i="6" s="1"/>
  <c r="AG39" i="6"/>
  <c r="AG38" i="6" s="1"/>
  <c r="AO46" i="6"/>
  <c r="AO47" i="6" s="1"/>
  <c r="AO48" i="6" s="1"/>
  <c r="AO43" i="6"/>
  <c r="AH40" i="6"/>
  <c r="AG44" i="6"/>
  <c r="AG45" i="6" s="1"/>
  <c r="AQ33" i="6" l="1"/>
  <c r="AQ36" i="6" s="1"/>
  <c r="AQ37" i="6" s="1"/>
  <c r="AH39" i="6"/>
  <c r="AH38" i="6" s="1"/>
  <c r="AP46" i="6"/>
  <c r="AP47" i="6" s="1"/>
  <c r="AP48" i="6" s="1"/>
  <c r="AP43" i="6"/>
  <c r="AI40" i="6"/>
  <c r="AH44" i="6"/>
  <c r="AH45" i="6" s="1"/>
  <c r="AI39" i="6" l="1"/>
  <c r="AI38" i="6" s="1"/>
  <c r="AQ46" i="6"/>
  <c r="AQ47" i="6" s="1"/>
  <c r="BI47" i="6" s="1"/>
  <c r="AQ43" i="6"/>
  <c r="BI43" i="6" s="1"/>
  <c r="AJ40" i="6"/>
  <c r="AJ39" i="6" s="1"/>
  <c r="AJ38" i="6" s="1"/>
  <c r="AI44" i="6"/>
  <c r="AI45" i="6" s="1"/>
  <c r="BI46" i="6" l="1"/>
  <c r="BO33" i="6"/>
  <c r="C83" i="3" s="1"/>
  <c r="E149" i="3" s="1"/>
  <c r="BO27" i="6"/>
  <c r="AQ48" i="6"/>
  <c r="BI48" i="6" s="1"/>
  <c r="AJ44" i="6"/>
  <c r="AJ45" i="6" s="1"/>
  <c r="AK40" i="6"/>
  <c r="AK39" i="6" l="1"/>
  <c r="AK38" i="6" s="1"/>
  <c r="AL40" i="6"/>
  <c r="AK44" i="6"/>
  <c r="AK45" i="6" s="1"/>
  <c r="AL39" i="6" l="1"/>
  <c r="AL38" i="6" s="1"/>
  <c r="AM40" i="6"/>
  <c r="AL44" i="6"/>
  <c r="AL45" i="6" s="1"/>
  <c r="AM39" i="6" l="1"/>
  <c r="AM38" i="6" s="1"/>
  <c r="AN40" i="6"/>
  <c r="AM44" i="6"/>
  <c r="AM45" i="6" s="1"/>
  <c r="AN39" i="6" l="1"/>
  <c r="AN38" i="6" s="1"/>
  <c r="AN44" i="6"/>
  <c r="AN45" i="6" s="1"/>
  <c r="AO40" i="6"/>
  <c r="AO39" i="6" l="1"/>
  <c r="AO38" i="6" s="1"/>
  <c r="AP40" i="6"/>
  <c r="AP39" i="6" s="1"/>
  <c r="AP38" i="6" s="1"/>
  <c r="AP44" i="6"/>
  <c r="AP45" i="6" s="1"/>
  <c r="AO44" i="6"/>
  <c r="AO45" i="6" s="1"/>
  <c r="AQ40" i="6" l="1"/>
  <c r="AQ39" i="6" s="1"/>
  <c r="AQ38" i="6" s="1"/>
  <c r="AQ44" i="6" l="1"/>
  <c r="BI44" i="6" s="1"/>
  <c r="E148" i="3" s="1"/>
  <c r="D45" i="4" l="1"/>
  <c r="AQ45" i="6"/>
  <c r="BI45" i="6" s="1"/>
  <c r="C22" i="4"/>
  <c r="E147" i="3" s="1"/>
  <c r="C24" i="4"/>
  <c r="C25" i="4" s="1"/>
  <c r="D46" i="4" l="1"/>
  <c r="D53" i="4" s="1"/>
  <c r="D56" i="4" s="1"/>
  <c r="E152" i="3" s="1"/>
  <c r="E83" i="3"/>
  <c r="C2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Friedrich Raphael</author>
  </authors>
  <commentList>
    <comment ref="C39" authorId="0" shapeId="0" xr:uid="{00000000-0006-0000-0000-000001000000}">
      <text>
        <r>
          <rPr>
            <sz val="10"/>
            <color indexed="81"/>
            <rFont val="Tahoma"/>
            <family val="2"/>
          </rPr>
          <t>G= 2 pour une maison ancienne sans isolation
G = 1,5 pour une maison ancienne avec isolation
G = 1,1 pour une maison d'après 1990
G= 0,9 pour une maison RT 2000
G = 0,8 pour une maison RT 2005
G = 0,6 HPE-THPE RT2005
G = 0,4 BBC RT2005 - RT 2012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 DUPRAT</author>
  </authors>
  <commentList>
    <comment ref="AC3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Nombre d'heures de chauffage</t>
        </r>
      </text>
    </comment>
    <comment ref="AG3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Ensoleillement</t>
        </r>
      </text>
    </comment>
    <comment ref="AH3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Ensoleillement</t>
        </r>
      </text>
    </comment>
  </commentList>
</comments>
</file>

<file path=xl/sharedStrings.xml><?xml version="1.0" encoding="utf-8"?>
<sst xmlns="http://schemas.openxmlformats.org/spreadsheetml/2006/main" count="2124" uniqueCount="817">
  <si>
    <t>Cantal</t>
  </si>
  <si>
    <t>Charente</t>
  </si>
  <si>
    <t>Charente-Maritime</t>
  </si>
  <si>
    <t>Cher</t>
  </si>
  <si>
    <t>Corrèze</t>
  </si>
  <si>
    <t>2A</t>
  </si>
  <si>
    <t>Corse-du-Sud</t>
  </si>
  <si>
    <t>2B</t>
  </si>
  <si>
    <t>Haute-Corse</t>
  </si>
  <si>
    <t>Côte-d'Or</t>
  </si>
  <si>
    <t>Côtes-d'Armor</t>
  </si>
  <si>
    <t>Creuse</t>
  </si>
  <si>
    <t>Dordogne</t>
  </si>
  <si>
    <t>Doubs</t>
  </si>
  <si>
    <t>Caractéristiques installation énergie bois</t>
  </si>
  <si>
    <t>Déper en kW</t>
  </si>
  <si>
    <t>Colonne temp</t>
  </si>
  <si>
    <t>Déperditions en kW</t>
  </si>
  <si>
    <t>Température extérieure de base en °C</t>
  </si>
  <si>
    <t>Entre 0 et 200 m</t>
  </si>
  <si>
    <t>Entre 201 et 400 m</t>
  </si>
  <si>
    <t>Entre 401 et 500 m</t>
  </si>
  <si>
    <t>Entre 501 et 600 m</t>
  </si>
  <si>
    <t>Entre 601 et 700 m</t>
  </si>
  <si>
    <t>Entre 701 et 800 m</t>
  </si>
  <si>
    <t>Entre 801 et 900 m</t>
  </si>
  <si>
    <t>Entre 901 et 1000 m</t>
  </si>
  <si>
    <t>Entre 1001 et 1100 m</t>
  </si>
  <si>
    <t>Entre 1101 et 1200 m</t>
  </si>
  <si>
    <t>Entre 1201 et 1300 m</t>
  </si>
  <si>
    <t>Entre 1301 et 1400 m</t>
  </si>
  <si>
    <t>Entre 1401 et 1500 m</t>
  </si>
  <si>
    <r>
      <t>Préchaufage</t>
    </r>
    <r>
      <rPr>
        <b/>
        <sz val="12"/>
        <color indexed="9"/>
        <rFont val="Arial"/>
        <family val="2"/>
      </rPr>
      <t xml:space="preserve"> ECS avec PAC</t>
    </r>
  </si>
  <si>
    <t>Niveau d'isolation connu (G)</t>
  </si>
  <si>
    <t>Energie d'appoint</t>
  </si>
  <si>
    <t>Electricité</t>
  </si>
  <si>
    <t>Fioul condens.</t>
  </si>
  <si>
    <t>Coûts des énergies</t>
  </si>
  <si>
    <t>Electricité : Prix de 100 kWh en € TTC</t>
  </si>
  <si>
    <t>HP : Heures Pleines</t>
  </si>
  <si>
    <t>HC : Heures Creuses</t>
  </si>
  <si>
    <t>Abonnement annuel en € TTC</t>
  </si>
  <si>
    <t>3 kVA</t>
  </si>
  <si>
    <t>6 kVA</t>
  </si>
  <si>
    <t>9 kVA</t>
  </si>
  <si>
    <t>12 kVA</t>
  </si>
  <si>
    <t>15 kVA</t>
  </si>
  <si>
    <t>18 kVA</t>
  </si>
  <si>
    <t>24 kVA</t>
  </si>
  <si>
    <t>30 kVA</t>
  </si>
  <si>
    <t>36 kVA</t>
  </si>
  <si>
    <t>Gaz : Prix de 100 kWh PCS en € TTC</t>
  </si>
  <si>
    <t>Tarif B1</t>
  </si>
  <si>
    <t>Tarif B2I</t>
  </si>
  <si>
    <t>Fioul : Prix de 100 kWh PCI en € TTC</t>
  </si>
  <si>
    <t>Propane : Prix de 100 kWh PCI en € TTC</t>
  </si>
  <si>
    <t>Bois</t>
  </si>
  <si>
    <t>Bois bûche : Prix du stère en € TTC</t>
  </si>
  <si>
    <t>Granulé bois : Prix de la tonne en € TTC</t>
  </si>
  <si>
    <t>Granulé bois</t>
  </si>
  <si>
    <t>Mise à jour possible :</t>
  </si>
  <si>
    <t>Ubat</t>
  </si>
  <si>
    <t>Température de confort en °C</t>
  </si>
  <si>
    <t>Nb heures</t>
  </si>
  <si>
    <t>Energie chauffage actuelle</t>
  </si>
  <si>
    <t>Chaudière actuelle (Rendement)</t>
  </si>
  <si>
    <t>De 40 ans (60%)</t>
  </si>
  <si>
    <t>Chauffage électrique</t>
  </si>
  <si>
    <t>Consommation d'eau chaude</t>
  </si>
  <si>
    <t>ECS actuelle</t>
  </si>
  <si>
    <t>Besoins ECS en kWh</t>
  </si>
  <si>
    <t>Type de chaudière actuelle</t>
  </si>
  <si>
    <t>L/j à 50°C</t>
  </si>
  <si>
    <t>De 30 ans (70%)</t>
  </si>
  <si>
    <t>De 20 ans (80%)</t>
  </si>
  <si>
    <t>De 10 ans (88%)</t>
  </si>
  <si>
    <t>kWh PCI</t>
  </si>
  <si>
    <t>Avec rendement</t>
  </si>
  <si>
    <t>Litres de fioul</t>
  </si>
  <si>
    <t>m3 de gaz naturel</t>
  </si>
  <si>
    <t>kg de propane</t>
  </si>
  <si>
    <t>kWh électrique</t>
  </si>
  <si>
    <t>TOTAL</t>
  </si>
  <si>
    <t>Abonnement GAZ</t>
  </si>
  <si>
    <t>Rentabilité B2I/B1</t>
  </si>
  <si>
    <t>Tout elec</t>
  </si>
  <si>
    <t>Conso ECS</t>
  </si>
  <si>
    <t>Cout Abonnement</t>
  </si>
  <si>
    <t>Cout Energie</t>
  </si>
  <si>
    <t>Abonnement actuel</t>
  </si>
  <si>
    <t>Tableau correspondances énergétiques</t>
  </si>
  <si>
    <t>Gaz Nouveau Condensation</t>
  </si>
  <si>
    <t>1 litre fioul</t>
  </si>
  <si>
    <t>kWh PCS</t>
  </si>
  <si>
    <t>kg CO2</t>
  </si>
  <si>
    <t>1 m3 gaz naturel</t>
  </si>
  <si>
    <t>1 kg propane</t>
  </si>
  <si>
    <t>1 kg Granulés</t>
  </si>
  <si>
    <t>Gaz Nouveau</t>
  </si>
  <si>
    <t>1 Stère de bûche</t>
  </si>
  <si>
    <t>1 kWh élec</t>
  </si>
  <si>
    <t>Type ECS actuelle</t>
  </si>
  <si>
    <t>Rend. Actuel</t>
  </si>
  <si>
    <t>Kwh consommés</t>
  </si>
  <si>
    <t>djh base 19</t>
  </si>
  <si>
    <t>DJH corrigé temp ambiance</t>
  </si>
  <si>
    <t>Basse Température (93%)</t>
  </si>
  <si>
    <t>Rend. Condens</t>
  </si>
  <si>
    <t>Taux de couverture ECS en %</t>
  </si>
  <si>
    <t>Cout kWh PCI énergie appoint en c€</t>
  </si>
  <si>
    <t>Cout annuel en €</t>
  </si>
  <si>
    <t>Chauffage</t>
  </si>
  <si>
    <t>Coeff. U bat estimé</t>
  </si>
  <si>
    <t>si pas</t>
  </si>
  <si>
    <t>si ecs</t>
  </si>
  <si>
    <t>si chauffage</t>
  </si>
  <si>
    <t>Actuelle</t>
  </si>
  <si>
    <t>Surcout PAC</t>
  </si>
  <si>
    <t>Surcout Elec</t>
  </si>
  <si>
    <t>Abonnements Elec</t>
  </si>
  <si>
    <t>PAC Air + app Elec</t>
  </si>
  <si>
    <t>propane condens</t>
  </si>
  <si>
    <t>35 - Ile-et-Vilaine</t>
  </si>
  <si>
    <t>DINARD</t>
  </si>
  <si>
    <t>36 - Indre</t>
  </si>
  <si>
    <t>CHATEAUROUX  DEOLS</t>
  </si>
  <si>
    <t>37 - Indre-et-Loire</t>
  </si>
  <si>
    <t>TOURS</t>
  </si>
  <si>
    <t>38 - Isère</t>
  </si>
  <si>
    <t>GRENOBLE-ST GEOIRS</t>
  </si>
  <si>
    <t>39 - Jura</t>
  </si>
  <si>
    <t>DOLE</t>
  </si>
  <si>
    <t>40 - Landes</t>
  </si>
  <si>
    <t>MONT-DE-MARSAN</t>
  </si>
  <si>
    <t>41 - Loir-et-Cher</t>
  </si>
  <si>
    <t>ROMORANTIN</t>
  </si>
  <si>
    <t>42 - Loire</t>
  </si>
  <si>
    <t>ST ETIENNE-BOUTHEON</t>
  </si>
  <si>
    <t>43 - Haute-Loire</t>
  </si>
  <si>
    <t>LE PUY-LOUDES</t>
  </si>
  <si>
    <t>44 - Loire Atlantique</t>
  </si>
  <si>
    <t>NANTES-BOUGUENAIS</t>
  </si>
  <si>
    <t>45 - Loiret</t>
  </si>
  <si>
    <t>ORLEANS</t>
  </si>
  <si>
    <t>46 - Lot</t>
  </si>
  <si>
    <t>GOURDON</t>
  </si>
  <si>
    <t>47 - Lot-et-Garonne</t>
  </si>
  <si>
    <t>AGEN</t>
  </si>
  <si>
    <t>48 - Lozère</t>
  </si>
  <si>
    <t>MENDE-VILLE</t>
  </si>
  <si>
    <t>49 - Maine-et-Loire</t>
  </si>
  <si>
    <t>BEAUCOUZE</t>
  </si>
  <si>
    <t>50 - Manche</t>
  </si>
  <si>
    <t>PTE DE LA HAGUE</t>
  </si>
  <si>
    <t>51 - Marne</t>
  </si>
  <si>
    <t>REIMS-COURCY</t>
  </si>
  <si>
    <t>52 - Haute-Marne</t>
  </si>
  <si>
    <t>LANGRES</t>
  </si>
  <si>
    <t>53 - Mayenne</t>
  </si>
  <si>
    <t>LAVAL-ENTRAMMES</t>
  </si>
  <si>
    <t>54 - Meurthe-et-Moselle</t>
  </si>
  <si>
    <t>NANCY-ESSEY</t>
  </si>
  <si>
    <t>55 - Meuse</t>
  </si>
  <si>
    <t>ERNEVILLE AUX B</t>
  </si>
  <si>
    <t>56 - Morbihan</t>
  </si>
  <si>
    <t>LORIENT-LANN BIHOUE</t>
  </si>
  <si>
    <t>57 - Moselle</t>
  </si>
  <si>
    <t>METZ-FRESCATY</t>
  </si>
  <si>
    <t>58 - Nièvre</t>
  </si>
  <si>
    <t>NEVERS-MARZY</t>
  </si>
  <si>
    <t>59 - Nord</t>
  </si>
  <si>
    <t>60 - Oise</t>
  </si>
  <si>
    <t>BEAUVAIS-TILLE</t>
  </si>
  <si>
    <t>61 - Orne</t>
  </si>
  <si>
    <t>ALENCON</t>
  </si>
  <si>
    <t>62 - Pas-de-Calais</t>
  </si>
  <si>
    <t>63 - Puy-de-Dôme</t>
  </si>
  <si>
    <t>CLERMONT-FD</t>
  </si>
  <si>
    <t>64 - Pyrénées Atlantiques</t>
  </si>
  <si>
    <t>BIARRITZ-ANGLET</t>
  </si>
  <si>
    <t>65 - Hautes-Pyrénées</t>
  </si>
  <si>
    <t>TARBES-OSSUN</t>
  </si>
  <si>
    <t>66 - Pyrénées-orientales</t>
  </si>
  <si>
    <t>PERPIGNAN</t>
  </si>
  <si>
    <t>STRASBOURG-ENTZHEIM</t>
  </si>
  <si>
    <t>68 - Haut-Rhin</t>
  </si>
  <si>
    <t>BALE-MULHOUSE</t>
  </si>
  <si>
    <t>69 - Rhône</t>
  </si>
  <si>
    <t>LYON-BRON</t>
  </si>
  <si>
    <t>DJ</t>
  </si>
  <si>
    <t>PAC Air + app autre</t>
  </si>
  <si>
    <t>Econome (35 l/j à 55°C)</t>
  </si>
  <si>
    <t>Normale (50 l/j à 55°C)</t>
  </si>
  <si>
    <t>Confortable (70 l/j à 55°C)</t>
  </si>
  <si>
    <t>&gt; 3 kVA</t>
  </si>
  <si>
    <t>67 - Bas-Rhin</t>
  </si>
  <si>
    <t>NON</t>
  </si>
  <si>
    <t>+</t>
  </si>
  <si>
    <t>Taux de couverture chauffage en %</t>
  </si>
  <si>
    <t>SOLAIRE</t>
  </si>
  <si>
    <t>SSC</t>
  </si>
  <si>
    <t>Production annuelle solaire</t>
  </si>
  <si>
    <t>Besoins annuels hors solaire</t>
  </si>
  <si>
    <t>Niveau d'isolation G estimé</t>
  </si>
  <si>
    <t>Second circuit</t>
  </si>
  <si>
    <t>Poste</t>
  </si>
  <si>
    <t>1 - Ain</t>
  </si>
  <si>
    <t>AMBERIEU</t>
  </si>
  <si>
    <t>2 - Aisne</t>
  </si>
  <si>
    <t>ST QUENTIN</t>
  </si>
  <si>
    <t>3 - Allier</t>
  </si>
  <si>
    <t>VICHY-CHARMEIL</t>
  </si>
  <si>
    <t>4 - Alpes de haute provence</t>
  </si>
  <si>
    <t>LE LUC</t>
  </si>
  <si>
    <t>5 - Hautes-Alpes</t>
  </si>
  <si>
    <t>EMBRUN</t>
  </si>
  <si>
    <t>6 - Alpes maritimes</t>
  </si>
  <si>
    <t>NICE</t>
  </si>
  <si>
    <t>7 - Ardèche</t>
  </si>
  <si>
    <t>ST-MARCEL-LES-V</t>
  </si>
  <si>
    <t>8 - Ardennes</t>
  </si>
  <si>
    <t>CHARLEVILLE-MEZ</t>
  </si>
  <si>
    <t>9 - Ariège</t>
  </si>
  <si>
    <t>ST GIRONS</t>
  </si>
  <si>
    <t>10 - Aube</t>
  </si>
  <si>
    <t>TROYES-BARBEREY</t>
  </si>
  <si>
    <t>11 - Aude</t>
  </si>
  <si>
    <t>CARCASSONNE</t>
  </si>
  <si>
    <t>12 - Aveyron</t>
  </si>
  <si>
    <t>MILLAU</t>
  </si>
  <si>
    <t>13 - Bouches-du-Rhône</t>
  </si>
  <si>
    <t>MARIGNANE</t>
  </si>
  <si>
    <t>14 - Calvados</t>
  </si>
  <si>
    <t>CAEN-CARPIQUET</t>
  </si>
  <si>
    <t>15 - Cantal</t>
  </si>
  <si>
    <t>AURILLAC</t>
  </si>
  <si>
    <t>16 - Charente</t>
  </si>
  <si>
    <t>COGNAC</t>
  </si>
  <si>
    <t>17 - Charente-Maritime</t>
  </si>
  <si>
    <t>LA ROCHELLE</t>
  </si>
  <si>
    <t>18 - Cher</t>
  </si>
  <si>
    <t>BOURGES</t>
  </si>
  <si>
    <t>19 - Corrèze</t>
  </si>
  <si>
    <t>BRIVE</t>
  </si>
  <si>
    <t>2A - Corse-du-Sud</t>
  </si>
  <si>
    <t>AJACCIO</t>
  </si>
  <si>
    <t>2B - Haute-Corse</t>
  </si>
  <si>
    <t>BASTIA</t>
  </si>
  <si>
    <t>21 - Côte-d'Or</t>
  </si>
  <si>
    <t>DIJON-LONGVIC</t>
  </si>
  <si>
    <t>22 - Côtes-d'Armor</t>
  </si>
  <si>
    <t>ST BRIEUC</t>
  </si>
  <si>
    <t>23 - Creuse</t>
  </si>
  <si>
    <t>GUERET-GRANCHER</t>
  </si>
  <si>
    <t>24 - Dordogne</t>
  </si>
  <si>
    <t>ST MARTIN RIB.</t>
  </si>
  <si>
    <t>25 - Doubs</t>
  </si>
  <si>
    <t>BESANCON</t>
  </si>
  <si>
    <t>26 - Drôme</t>
  </si>
  <si>
    <t>BUIS -BARONNIES</t>
  </si>
  <si>
    <t>27 - Eure</t>
  </si>
  <si>
    <t>EVREUX-HUEST</t>
  </si>
  <si>
    <t>28 - Eure-et-Loire</t>
  </si>
  <si>
    <t>CHATEAUDUN</t>
  </si>
  <si>
    <t>29 - Finistère</t>
  </si>
  <si>
    <t>BREST-GUIPAVAS</t>
  </si>
  <si>
    <t>30 - Gard</t>
  </si>
  <si>
    <t>NIMES-COURBESSAC</t>
  </si>
  <si>
    <t>31 - Haute-Garonne</t>
  </si>
  <si>
    <t>Données  géographiques</t>
  </si>
  <si>
    <t>-</t>
  </si>
  <si>
    <t>Electrique</t>
  </si>
  <si>
    <t>Département de l'installation</t>
  </si>
  <si>
    <t>Altitude</t>
  </si>
  <si>
    <t>Index</t>
  </si>
  <si>
    <t>n° départ.</t>
  </si>
  <si>
    <t>Département</t>
  </si>
  <si>
    <t>Hiver</t>
  </si>
  <si>
    <t>Eté</t>
  </si>
  <si>
    <t>N° MINI</t>
  </si>
  <si>
    <t>N° MAXI</t>
  </si>
  <si>
    <t>T° EXT mini</t>
  </si>
  <si>
    <t>Iles</t>
  </si>
  <si>
    <t>côte &lt; 25 km</t>
  </si>
  <si>
    <t>Alt. entre 0 et 200 m</t>
  </si>
  <si>
    <t>Alt. entre 201 et 400 m</t>
  </si>
  <si>
    <t>Alt. entre 401 et 500 m</t>
  </si>
  <si>
    <t>Alt. entre 501 et 600 m</t>
  </si>
  <si>
    <t>Alt. entre 601 et 700 m</t>
  </si>
  <si>
    <t>Alt. entre 701 et 800 m</t>
  </si>
  <si>
    <t>Alt. entre 801 et 900 m</t>
  </si>
  <si>
    <t>Alt. entre 901 et 1000 m</t>
  </si>
  <si>
    <t>Alt. entre 1001 et 1100 m</t>
  </si>
  <si>
    <t>Alt. entre 1101 et 1200 m</t>
  </si>
  <si>
    <t>Alt. entre 1201 et 1300 m</t>
  </si>
  <si>
    <t>Alt. entre 1301 et 1400 m</t>
  </si>
  <si>
    <t>Alt. entre 1401 et 1500 m</t>
  </si>
  <si>
    <t>Nréf (h)</t>
  </si>
  <si>
    <t>Dhréf (degrés-heures)</t>
  </si>
  <si>
    <t>Précision de la situation</t>
  </si>
  <si>
    <t>Préf 1 (W/m²)</t>
  </si>
  <si>
    <t>Préf 2 (W/m²)</t>
  </si>
  <si>
    <t>Pref moyen</t>
  </si>
  <si>
    <t>C3 (h/m)</t>
  </si>
  <si>
    <t>C4 (h/km)</t>
  </si>
  <si>
    <t>CESI</t>
  </si>
  <si>
    <t>I1</t>
  </si>
  <si>
    <t>Ain</t>
  </si>
  <si>
    <t>H1</t>
  </si>
  <si>
    <t>Ec</t>
  </si>
  <si>
    <t>I2</t>
  </si>
  <si>
    <t>Aisne</t>
  </si>
  <si>
    <t>Ea</t>
  </si>
  <si>
    <t>Allier</t>
  </si>
  <si>
    <t>Alpes de haute provence</t>
  </si>
  <si>
    <t>H2</t>
  </si>
  <si>
    <t>Ed</t>
  </si>
  <si>
    <t>I4</t>
  </si>
  <si>
    <t>Hautes-Alpes</t>
  </si>
  <si>
    <t>Ouest</t>
  </si>
  <si>
    <t>Est</t>
  </si>
  <si>
    <t>I3</t>
  </si>
  <si>
    <t>Alpes maritimes</t>
  </si>
  <si>
    <t>H3</t>
  </si>
  <si>
    <t>Ardèche</t>
  </si>
  <si>
    <t>Nord</t>
  </si>
  <si>
    <t>Sud</t>
  </si>
  <si>
    <t>Ardennes</t>
  </si>
  <si>
    <t>Eb</t>
  </si>
  <si>
    <t>Ariège</t>
  </si>
  <si>
    <t>Aube</t>
  </si>
  <si>
    <t>Aude</t>
  </si>
  <si>
    <t>&gt;30km de la mer</t>
  </si>
  <si>
    <r>
      <t>&lt;</t>
    </r>
    <r>
      <rPr>
        <sz val="10"/>
        <rFont val="Arial"/>
        <family val="2"/>
      </rPr>
      <t>30km de la mer</t>
    </r>
  </si>
  <si>
    <t>Aveyron</t>
  </si>
  <si>
    <t>Bouches-du-Rhône</t>
  </si>
  <si>
    <t>Calvados</t>
  </si>
  <si>
    <t>Fioul</t>
  </si>
  <si>
    <t>Gaz</t>
  </si>
  <si>
    <t>Propane</t>
  </si>
  <si>
    <t>Oui</t>
  </si>
  <si>
    <t>Besoins annuels chauffage</t>
  </si>
  <si>
    <t>kWh</t>
  </si>
  <si>
    <t>€</t>
  </si>
  <si>
    <t>Coût annuel chauffage</t>
  </si>
  <si>
    <t>ECS</t>
  </si>
  <si>
    <t>Besoins annuels ECS</t>
  </si>
  <si>
    <t>Production annuelle Solaire</t>
  </si>
  <si>
    <t>Coût annuel ECS</t>
  </si>
  <si>
    <t>COUT ANNUEL TOTAL</t>
  </si>
  <si>
    <t>Choix</t>
  </si>
  <si>
    <t>Type de chaudière d'appoint</t>
  </si>
  <si>
    <t>Rendement</t>
  </si>
  <si>
    <t>Text</t>
  </si>
  <si>
    <t>Sur 100</t>
  </si>
  <si>
    <t>Appoint</t>
  </si>
  <si>
    <t>Résultats et performances</t>
  </si>
  <si>
    <t>idem chauffage</t>
  </si>
  <si>
    <t>Gaz naturel</t>
  </si>
  <si>
    <t>Hydraulique</t>
  </si>
  <si>
    <t>Fioul condensation</t>
  </si>
  <si>
    <t>Gaz condensation</t>
  </si>
  <si>
    <t>Type chaudière</t>
  </si>
  <si>
    <t>70 - Haute-Saône</t>
  </si>
  <si>
    <t>LUXEUIL</t>
  </si>
  <si>
    <t>71 - Saône-et-Loire</t>
  </si>
  <si>
    <t>MACON</t>
  </si>
  <si>
    <t>72 - Sarthe</t>
  </si>
  <si>
    <t>LE MANS</t>
  </si>
  <si>
    <t>73 - Savoie</t>
  </si>
  <si>
    <t>CHAMBERY-AIX</t>
  </si>
  <si>
    <t>74 - Haute-Savoie</t>
  </si>
  <si>
    <t>MEYTHET</t>
  </si>
  <si>
    <t>75 - Paris</t>
  </si>
  <si>
    <t>PARIS-MONTSOURIS</t>
  </si>
  <si>
    <t>76 - Seine-Maritime</t>
  </si>
  <si>
    <t>ROUEN-BOOS</t>
  </si>
  <si>
    <t>77 - Seine-et-Marne</t>
  </si>
  <si>
    <t>MELUN</t>
  </si>
  <si>
    <t>78 - Yvelines</t>
  </si>
  <si>
    <t>VILLACOUBLAY</t>
  </si>
  <si>
    <t>79 - Deux-Sèvres</t>
  </si>
  <si>
    <t>NIORT</t>
  </si>
  <si>
    <t>80 - Somme</t>
  </si>
  <si>
    <t>ABBEVILLE</t>
  </si>
  <si>
    <t>81 - Tarn</t>
  </si>
  <si>
    <t>ALBI</t>
  </si>
  <si>
    <t>82 - Tarn-et-Garonne</t>
  </si>
  <si>
    <t>MONTAUBAN</t>
  </si>
  <si>
    <t>83 - Var</t>
  </si>
  <si>
    <t>TOULON</t>
  </si>
  <si>
    <t>84 - Vaucluse</t>
  </si>
  <si>
    <t>ORANGE</t>
  </si>
  <si>
    <t>85 - Vendée</t>
  </si>
  <si>
    <t>LA ROCHE SUR YON</t>
  </si>
  <si>
    <t>86 - Vienne</t>
  </si>
  <si>
    <t>POITIERS-BIARD</t>
  </si>
  <si>
    <t>87 - Haute-Vienne</t>
  </si>
  <si>
    <t>LIMOGES-BELLEGARDE</t>
  </si>
  <si>
    <t>88 - Vosges</t>
  </si>
  <si>
    <t>EPINAL</t>
  </si>
  <si>
    <t>89 - Yonne</t>
  </si>
  <si>
    <t>AUXERRE</t>
  </si>
  <si>
    <t>90 - Territoire-de-Belfort</t>
  </si>
  <si>
    <t>BELFORT</t>
  </si>
  <si>
    <t>91 - Essone</t>
  </si>
  <si>
    <t>ORLY</t>
  </si>
  <si>
    <t>92 - Hauts-de-Seine</t>
  </si>
  <si>
    <t>ST-MAUR</t>
  </si>
  <si>
    <t>93 - Seine-Saint-Denis</t>
  </si>
  <si>
    <t>LE BOURGET</t>
  </si>
  <si>
    <t>94 - Val-de-Marne</t>
  </si>
  <si>
    <t>ROISSY</t>
  </si>
  <si>
    <t>95 - Val-d'Oise</t>
  </si>
  <si>
    <t>BAGATELLE</t>
  </si>
  <si>
    <t>Nombre de jour</t>
  </si>
  <si>
    <t>Station de référence:</t>
  </si>
  <si>
    <t xml:space="preserve">Dans tous les cas, cette simulation n'est qu'un estimation sommaire. </t>
  </si>
  <si>
    <t xml:space="preserve">Consommation actuelle d'énergie par an (avec ECS) </t>
  </si>
  <si>
    <t>Drôme</t>
  </si>
  <si>
    <t>Eure</t>
  </si>
  <si>
    <t>Eure-et-Loire</t>
  </si>
  <si>
    <t>Finistère</t>
  </si>
  <si>
    <t>Gard</t>
  </si>
  <si>
    <t>Haute-Garonne</t>
  </si>
  <si>
    <t>Gers</t>
  </si>
  <si>
    <t>Gironde</t>
  </si>
  <si>
    <t>Hérault</t>
  </si>
  <si>
    <t>Ile-et-Vilaine</t>
  </si>
  <si>
    <t>Indre</t>
  </si>
  <si>
    <t>Indre-et-Loire</t>
  </si>
  <si>
    <t>Isère</t>
  </si>
  <si>
    <t>Jura</t>
  </si>
  <si>
    <t>Landes</t>
  </si>
  <si>
    <t>Loir-et-Cher</t>
  </si>
  <si>
    <t>Loire</t>
  </si>
  <si>
    <t>Haute-Loire</t>
  </si>
  <si>
    <t>Loire Atlantique</t>
  </si>
  <si>
    <t>Loiret</t>
  </si>
  <si>
    <t>Lot</t>
  </si>
  <si>
    <t>Lot-et-Garonne</t>
  </si>
  <si>
    <t>Lozère</t>
  </si>
  <si>
    <t>Maine-et-Loire</t>
  </si>
  <si>
    <t>Manche</t>
  </si>
  <si>
    <t>Marne</t>
  </si>
  <si>
    <t>Haute-Marne</t>
  </si>
  <si>
    <t>Mayenne</t>
  </si>
  <si>
    <t>Meurthe-et-Moselle</t>
  </si>
  <si>
    <t>Meuse</t>
  </si>
  <si>
    <t>Morbihan</t>
  </si>
  <si>
    <t>Premier circuit</t>
  </si>
  <si>
    <t>LILLE-LESQUIN</t>
  </si>
  <si>
    <t>Caractéristiques du bâtiment</t>
  </si>
  <si>
    <t>Estimation des besoins  Chauffage et ECS</t>
  </si>
  <si>
    <t>Moselle</t>
  </si>
  <si>
    <t>Nièvre</t>
  </si>
  <si>
    <t>Oise</t>
  </si>
  <si>
    <t>Orne</t>
  </si>
  <si>
    <t>Pas-de-Calais</t>
  </si>
  <si>
    <t>Puy-de-Dôme</t>
  </si>
  <si>
    <t>Pyrénées 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</si>
  <si>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</si>
  <si>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</si>
  <si>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</si>
  <si>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</si>
  <si>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</si>
  <si>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</si>
  <si>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</si>
  <si>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</si>
  <si>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</si>
  <si>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</si>
  <si>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Paris</t>
  </si>
  <si>
    <t>Seine-Maritime</t>
  </si>
  <si>
    <t>Seine-et-Marne</t>
  </si>
  <si>
    <t>Yvelines</t>
  </si>
  <si>
    <t>Deux-Sèvres</t>
  </si>
  <si>
    <t>Somme</t>
  </si>
  <si>
    <t>Tarn</t>
  </si>
  <si>
    <t>Tarn-et-Garonne</t>
  </si>
  <si>
    <t>Var</t>
  </si>
  <si>
    <t>Vaucluse</t>
  </si>
  <si>
    <t>Vendée</t>
  </si>
  <si>
    <t>Vienne</t>
  </si>
  <si>
    <t>Haute-Vienne</t>
  </si>
  <si>
    <t>Vosges</t>
  </si>
  <si>
    <t>Yonne</t>
  </si>
  <si>
    <t>Territoire-de-Belfort</t>
  </si>
  <si>
    <t>Essone</t>
  </si>
  <si>
    <t>Hauts-de-Seine</t>
  </si>
  <si>
    <t>Seine-Saint-Denis</t>
  </si>
  <si>
    <t>Val-de-Marne</t>
  </si>
  <si>
    <t>Val-d'Oise</t>
  </si>
  <si>
    <t>Surface de la maison en m²</t>
  </si>
  <si>
    <t>Hauteur moyenne sous plafond en m</t>
  </si>
  <si>
    <t>Coeff G</t>
  </si>
  <si>
    <t>Temp. Ext base</t>
  </si>
  <si>
    <t>Déperditions</t>
  </si>
  <si>
    <t>Ligne temp</t>
  </si>
  <si>
    <t>Température maxi départ chauffage</t>
  </si>
  <si>
    <t>Radiateurs</t>
  </si>
  <si>
    <t xml:space="preserve"> Références du projet</t>
  </si>
  <si>
    <t>Nombre de personnes dans le logement</t>
  </si>
  <si>
    <t>Solaire</t>
  </si>
  <si>
    <t>Niveau d'isolation (G)</t>
  </si>
  <si>
    <t xml:space="preserve"> </t>
  </si>
  <si>
    <t>Energie actuelle</t>
  </si>
  <si>
    <t>http://developpement-durable.bsocom.fr/statistiques/ReportFolders/ReportFolders.aspx</t>
  </si>
  <si>
    <t>Les consommations sont estimées en tenant compte des choix pris par l'utilisateur et des données climatiques de la station de référence prise en compte.</t>
  </si>
  <si>
    <t>TOULOUSE-BLAGNAC</t>
  </si>
  <si>
    <t>32 - Gers</t>
  </si>
  <si>
    <t>AUCH</t>
  </si>
  <si>
    <t>33 - Gironde</t>
  </si>
  <si>
    <t>BORDEAUX-MERIGNAC</t>
  </si>
  <si>
    <t>34 - Hérault</t>
  </si>
  <si>
    <t>MONTPELLIER</t>
  </si>
  <si>
    <t>Puissance applée</t>
  </si>
  <si>
    <t>Fréquence</t>
  </si>
  <si>
    <t>Rrend remplissage</t>
  </si>
  <si>
    <t>PCIv bois (kWh/m3)</t>
  </si>
  <si>
    <t>V chambre (m3)</t>
  </si>
  <si>
    <t>Production E sortie chaud (kWh)</t>
  </si>
  <si>
    <t>V ballon (L) Préco DD</t>
  </si>
  <si>
    <t>V ballon (L) HS Fr</t>
  </si>
  <si>
    <t>Type de chaudière</t>
  </si>
  <si>
    <t>Modèle</t>
  </si>
  <si>
    <t>P-déper</t>
  </si>
  <si>
    <t>Nombre de charges / Puissance</t>
  </si>
  <si>
    <t>Tableau d'aide à la selection</t>
  </si>
  <si>
    <t>Besoins appoint</t>
  </si>
  <si>
    <t>Choix du modèle</t>
  </si>
  <si>
    <t>Couverture annuelle</t>
  </si>
  <si>
    <t>Bois seul</t>
  </si>
  <si>
    <t>Production ECS</t>
  </si>
  <si>
    <t>Estimation des gains:</t>
  </si>
  <si>
    <t>Production solaire</t>
  </si>
  <si>
    <t>Consommation appoint</t>
  </si>
  <si>
    <t xml:space="preserve">Economie annuelle </t>
  </si>
  <si>
    <t>stère de bois</t>
  </si>
  <si>
    <t>Energie Appoint bois</t>
  </si>
  <si>
    <t>Stères de bois</t>
  </si>
  <si>
    <t>Puissance totale CHAUFFAGE à installer (kW) :</t>
  </si>
  <si>
    <t>Attention, vérification puissance chaudière bois et nombre de charges réalisables</t>
  </si>
  <si>
    <t>soit</t>
  </si>
  <si>
    <r>
      <t>Consommation totale</t>
    </r>
    <r>
      <rPr>
        <i/>
        <sz val="14"/>
        <color indexed="10"/>
        <rFont val="Arial"/>
        <family val="2"/>
      </rPr>
      <t xml:space="preserve"> </t>
    </r>
    <r>
      <rPr>
        <i/>
        <sz val="14"/>
        <rFont val="Arial"/>
        <family val="2"/>
      </rPr>
      <t xml:space="preserve">bois </t>
    </r>
  </si>
  <si>
    <t>Nombre de charge th</t>
  </si>
  <si>
    <t>Nombre max de charge</t>
  </si>
  <si>
    <t>Energie associée</t>
  </si>
  <si>
    <t>E associée</t>
  </si>
  <si>
    <t>kWh/charge</t>
  </si>
  <si>
    <t>charge max</t>
  </si>
  <si>
    <t>P max</t>
  </si>
  <si>
    <t>kW</t>
  </si>
  <si>
    <t>Récapitulatif</t>
  </si>
  <si>
    <t xml:space="preserve">Chaudière bois De Dietrich </t>
  </si>
  <si>
    <t>Puissance :</t>
  </si>
  <si>
    <t>Rendement :</t>
  </si>
  <si>
    <t>Bois + appoint</t>
  </si>
  <si>
    <t>PS 1000-2</t>
  </si>
  <si>
    <t>PS 1500-2</t>
  </si>
  <si>
    <t>PS 2000</t>
  </si>
  <si>
    <t>PS 2500</t>
  </si>
  <si>
    <t>PSB 750 ou PS 800-2</t>
  </si>
  <si>
    <t>Nombre maximum de charges/jour assurées par l'utilisateur</t>
  </si>
  <si>
    <t>Pour une installation située au niveau de la station de référence</t>
  </si>
  <si>
    <t>Volume tampon préconisé:</t>
  </si>
  <si>
    <t>Données géographiques</t>
  </si>
  <si>
    <t>T° ext base</t>
  </si>
  <si>
    <t>Caractéristiques Bâtiment</t>
  </si>
  <si>
    <t>Surface</t>
  </si>
  <si>
    <t>Hsp</t>
  </si>
  <si>
    <t xml:space="preserve">Volume </t>
  </si>
  <si>
    <t>T° confort</t>
  </si>
  <si>
    <t>G connu?</t>
  </si>
  <si>
    <t>OUI</t>
  </si>
  <si>
    <t>Sélection</t>
  </si>
  <si>
    <t>L</t>
  </si>
  <si>
    <t xml:space="preserve">Calcul de G </t>
  </si>
  <si>
    <t>Date</t>
  </si>
  <si>
    <t>Auteur</t>
  </si>
  <si>
    <t>Tache</t>
  </si>
  <si>
    <t>Passage de tarif 2015 à tarif 2017</t>
  </si>
  <si>
    <t>Réorganisation des onglets</t>
  </si>
  <si>
    <t>BdD Bâtiment</t>
  </si>
  <si>
    <t>Consommation</t>
  </si>
  <si>
    <t>Résultats</t>
  </si>
  <si>
    <t>BdD Localisation</t>
  </si>
  <si>
    <t>Mise à jour de l'outil (pour passage prochainement à Oertli)</t>
  </si>
  <si>
    <t>Consommation actuelle</t>
  </si>
  <si>
    <t xml:space="preserve">calculé </t>
  </si>
  <si>
    <t>validé</t>
  </si>
  <si>
    <t>A voir</t>
  </si>
  <si>
    <t>Besoins</t>
  </si>
  <si>
    <t>Teb à 0m</t>
  </si>
  <si>
    <t>Estimation des besoins et déperditions</t>
  </si>
  <si>
    <t>=0,75 * Ubat * Volume *DJH corrigés * (T°consigne - Teb)/(T°consigne - Teb à 0m)</t>
  </si>
  <si>
    <t>= G* Volume * dT</t>
  </si>
  <si>
    <t>Nouvelle installation</t>
  </si>
  <si>
    <t>75-100</t>
  </si>
  <si>
    <t>50-75</t>
  </si>
  <si>
    <t>35-50</t>
  </si>
  <si>
    <t>25-35</t>
  </si>
  <si>
    <t>0-25</t>
  </si>
  <si>
    <t>Sélection gamme Bois</t>
  </si>
  <si>
    <t>Unité</t>
  </si>
  <si>
    <t>Recap sélection appoint</t>
  </si>
  <si>
    <t>Type</t>
  </si>
  <si>
    <t>Energie</t>
  </si>
  <si>
    <t>Prix des energies</t>
  </si>
  <si>
    <t>Tarif sélectionné</t>
  </si>
  <si>
    <t>Coût sélectionné</t>
  </si>
  <si>
    <t>Consommation et production d'Energie</t>
  </si>
  <si>
    <t>Production chaudière</t>
  </si>
  <si>
    <t>Part de production chaudière</t>
  </si>
  <si>
    <t>Production Appoint</t>
  </si>
  <si>
    <t>Part de production appoint</t>
  </si>
  <si>
    <t>Comparatif des energies</t>
  </si>
  <si>
    <t>Fioul condens</t>
  </si>
  <si>
    <t>Gaz condens</t>
  </si>
  <si>
    <t>Propane condens</t>
  </si>
  <si>
    <t>* Bois seul : Pour passer du prix en €/stère au prix en €/kWh (1800 kWh/stères)</t>
  </si>
  <si>
    <t>Production annuelle ECS hors solaire</t>
  </si>
  <si>
    <t>Reste à définir</t>
  </si>
  <si>
    <t>Besoins chauffage [kWh]</t>
  </si>
  <si>
    <t>Consommation [kWh]</t>
  </si>
  <si>
    <t>Prix energie [€ /  kWh]</t>
  </si>
  <si>
    <t>PAC - COP 2,5</t>
  </si>
  <si>
    <t>Besoins  ECS [kWh]</t>
  </si>
  <si>
    <t>Besoins kWh / °C</t>
  </si>
  <si>
    <t>Conso actuelle</t>
  </si>
  <si>
    <t>Energie ECS</t>
  </si>
  <si>
    <t>Conso ECS actuel</t>
  </si>
  <si>
    <t>Energie Chauffage</t>
  </si>
  <si>
    <t>Conso Chauff. actuel</t>
  </si>
  <si>
    <t>Total en kWh</t>
  </si>
  <si>
    <t>Consommation annuel en €</t>
  </si>
  <si>
    <t>Puissance Appoint</t>
  </si>
  <si>
    <t>Puissance bois</t>
  </si>
  <si>
    <t>Coût BOIS</t>
  </si>
  <si>
    <t>Coût Appoint</t>
  </si>
  <si>
    <t>€ / an</t>
  </si>
  <si>
    <t>Production par BOIS</t>
  </si>
  <si>
    <t>Production par appoint</t>
  </si>
  <si>
    <t>Consommation BOIS</t>
  </si>
  <si>
    <t>kWh bois / an</t>
  </si>
  <si>
    <t>kWh combustible / an</t>
  </si>
  <si>
    <t>CHAUFFAGE</t>
  </si>
  <si>
    <t>P dispo si ECS</t>
  </si>
  <si>
    <t>Pdispo / Deper</t>
  </si>
  <si>
    <t>Pmax chaudière BOIS</t>
  </si>
  <si>
    <t>Pmax / P requis = Part ECS BOIS</t>
  </si>
  <si>
    <t>Part chauffage bois</t>
  </si>
  <si>
    <t>Puissance BOIS</t>
  </si>
  <si>
    <t>kWh/ an</t>
  </si>
  <si>
    <t>kWh/an</t>
  </si>
  <si>
    <t>Nombre de jour de chauffe</t>
  </si>
  <si>
    <t>jours</t>
  </si>
  <si>
    <t>Jours de chauffe cumulés</t>
  </si>
  <si>
    <t>Nombre de jours / °C</t>
  </si>
  <si>
    <t>Numéro de colonne dans Localisation</t>
  </si>
  <si>
    <t>kWh produit / an</t>
  </si>
  <si>
    <t>€ / kWh</t>
  </si>
  <si>
    <t>Jours</t>
  </si>
  <si>
    <t>Couverture BOIS</t>
  </si>
  <si>
    <t>Totale</t>
  </si>
  <si>
    <t>= (Volume journalier ECS * 1,16 * dT /1000) / 2</t>
  </si>
  <si>
    <t>Part journalière pour l'ECS</t>
  </si>
  <si>
    <t>Part Puissance</t>
  </si>
  <si>
    <t>Part journalière</t>
  </si>
  <si>
    <t>P requise pour chauffe de 1 Vol ECS journalier en 2h [kW]</t>
  </si>
  <si>
    <t>Coût total</t>
  </si>
  <si>
    <t>Besoins ECS réels (hors solaire)</t>
  </si>
  <si>
    <t>Besoins kWh / °C réels (hors solaire)</t>
  </si>
  <si>
    <t xml:space="preserve">Besoins ECS </t>
  </si>
  <si>
    <t>Bois + Appoint</t>
  </si>
  <si>
    <t>Besoins chauffage approximatifs</t>
  </si>
  <si>
    <t>Coût chauffage [€]</t>
  </si>
  <si>
    <t>Coût ECS [€]</t>
  </si>
  <si>
    <t>Préconisation</t>
  </si>
  <si>
    <t>Puissance [kW]</t>
  </si>
  <si>
    <t>Déperditions [%]</t>
  </si>
  <si>
    <t>Données chaudières</t>
  </si>
  <si>
    <t>Sélection Ballon tampons</t>
  </si>
  <si>
    <t>Choix Chaudière:</t>
  </si>
  <si>
    <t>NRJ dégagée par 1 charge [kWh / charge]</t>
  </si>
  <si>
    <t>Tampons dispo pour préco</t>
  </si>
  <si>
    <t>99 - 75%</t>
  </si>
  <si>
    <t>74 - 50%</t>
  </si>
  <si>
    <t>49 - 35%</t>
  </si>
  <si>
    <t>34 - 25%</t>
  </si>
  <si>
    <t>Nombre de jours</t>
  </si>
  <si>
    <t>Données</t>
  </si>
  <si>
    <t>1er circuit</t>
  </si>
  <si>
    <t>Plancher Chauffant</t>
  </si>
  <si>
    <t>2e circuit</t>
  </si>
  <si>
    <t>Aucun</t>
  </si>
  <si>
    <t>MAJ Tarif Janiver 2018</t>
  </si>
  <si>
    <t>Option BASE</t>
  </si>
  <si>
    <t>Option HP/HC</t>
  </si>
  <si>
    <t>MAJ tarif janvier 2019</t>
  </si>
  <si>
    <t>Date de l'étude :</t>
  </si>
  <si>
    <t>Récapitulaltif de l'estimation des besoins Chauffage et ECS</t>
  </si>
  <si>
    <t>15 kW</t>
  </si>
  <si>
    <t>27/35 kW</t>
  </si>
  <si>
    <t>32 kW</t>
  </si>
  <si>
    <t>Puissance</t>
  </si>
  <si>
    <t>Combustible</t>
  </si>
  <si>
    <t>Bûches</t>
  </si>
  <si>
    <t>Granulés</t>
  </si>
  <si>
    <t>Type de combustible</t>
  </si>
  <si>
    <t>Puissance nominale</t>
  </si>
  <si>
    <t>Nom Gamme</t>
  </si>
  <si>
    <t>Nom Chaudière</t>
  </si>
  <si>
    <t>Modulation</t>
  </si>
  <si>
    <t>Rendement nominal</t>
  </si>
  <si>
    <t>Puissance mini</t>
  </si>
  <si>
    <t>Rendement Chaudière</t>
  </si>
  <si>
    <t>PCIv granulés (kWh/tonne)</t>
  </si>
  <si>
    <t>Sélection Chaudière</t>
  </si>
  <si>
    <t>Choix gamme</t>
  </si>
  <si>
    <t>Choix modèle</t>
  </si>
  <si>
    <t xml:space="preserve">Nom </t>
  </si>
  <si>
    <t xml:space="preserve">PROD </t>
  </si>
  <si>
    <t>Modèle préconsié</t>
  </si>
  <si>
    <t>Volume tampon préco</t>
  </si>
  <si>
    <t>Volume</t>
  </si>
  <si>
    <t>Capacité stockage (kg)</t>
  </si>
  <si>
    <t>Energie max par chargement (kWh)</t>
  </si>
  <si>
    <t>Si chaudière granulés</t>
  </si>
  <si>
    <t>Besoins par jour (kWh)</t>
  </si>
  <si>
    <t>Capacité silo</t>
  </si>
  <si>
    <t>kWh / chargement</t>
  </si>
  <si>
    <t>Part chaudière pellets</t>
  </si>
  <si>
    <t>Part de production par l'énergie biomasse (bois ou granulés)</t>
  </si>
  <si>
    <t>Les calculs ont pour hypothèses un bois sec (20%) avec un PCI de 1800kWh/stère ou pour les granulés, un PCI de 5100 kWh/tonne</t>
  </si>
  <si>
    <t>AD</t>
  </si>
  <si>
    <t>Remplacement des gammes par celles au plan de vente</t>
  </si>
  <si>
    <t>Ajout des chaudières granulés</t>
  </si>
  <si>
    <t>Ajout de la notice</t>
  </si>
  <si>
    <t>Nous contacter</t>
  </si>
  <si>
    <r>
      <t>Si vous avez besoin d'un renseignement supplémentaire, si vous avez une proposition d'amélioration à nous faire parvenir contactez nous à l'adresse</t>
    </r>
    <r>
      <rPr>
        <u/>
        <sz val="11"/>
        <color rgb="FF00B0F0"/>
        <rFont val="Arial"/>
        <family val="2"/>
      </rPr>
      <t xml:space="preserve"> Tools@bdrthermea.fr</t>
    </r>
  </si>
  <si>
    <r>
      <t xml:space="preserve">En cas de problème d'utilisation de l'outil, contactez-nous à l'adresse </t>
    </r>
    <r>
      <rPr>
        <u/>
        <sz val="11"/>
        <color rgb="FF00B0F0"/>
        <rFont val="Arial"/>
        <family val="2"/>
      </rPr>
      <t xml:space="preserve">Tools@bdrthermea.fr </t>
    </r>
    <r>
      <rPr>
        <sz val="11"/>
        <rFont val="Arial"/>
        <family val="2"/>
      </rPr>
      <t xml:space="preserve"> en joignant à votre mail le fichier excel avec la configuration qui fait défaut.</t>
    </r>
  </si>
  <si>
    <t xml:space="preserve">Les nouveautés de l'outil </t>
  </si>
  <si>
    <t xml:space="preserve">Dernière mise à jour : </t>
  </si>
  <si>
    <t>1)</t>
  </si>
  <si>
    <t>Mise à jour des gammes de chaudières disponbiles</t>
  </si>
  <si>
    <t>- Chaudières Bois bûches :</t>
  </si>
  <si>
    <t>- Chaudières Pellets (automatiques)</t>
  </si>
  <si>
    <t>2)</t>
  </si>
  <si>
    <t>Ce qu'il faut savoir</t>
  </si>
  <si>
    <t>= Les cases de cette forme sont des sélections. L'utilisateur doit soit choisir parmis les solutions proposées dans le menu déroulant, soit indiquer une valeur propre à son projet.</t>
  </si>
  <si>
    <t>Résultat</t>
  </si>
  <si>
    <t>= Les cases de cette forme sont des résultats. Ils indiquent des résultats intermédiaires ou finaux en fonction des paramètres entrés précedemment.</t>
  </si>
  <si>
    <t>Erreur</t>
  </si>
  <si>
    <t>= Les cases de cette forme sont des erreurs. Elle indique que la valeur sélectionnée n'est pas cohérente. Il faut donc sélectionner une autre valeur.</t>
  </si>
  <si>
    <t xml:space="preserve">   Pour que le résultat soit correct et corresponde aux paramètres indiqués, aucune case </t>
  </si>
  <si>
    <t>ne doit être visible.</t>
  </si>
  <si>
    <t>Début de la notice d'utilisation</t>
  </si>
  <si>
    <t>Pour commencer :</t>
  </si>
  <si>
    <t>Cliquez sur l'onglet "Données" situé en bas pour démarrer une étude</t>
  </si>
  <si>
    <t>Les explications ci-dessous ne sont pas interractives, les images ne peuvent être modifier, vous devez aller dans l'onglet "Données" pour réaliser une étude.</t>
  </si>
  <si>
    <t>1.</t>
  </si>
  <si>
    <t>►</t>
  </si>
  <si>
    <t xml:space="preserve">Sélectionnez tout d'abord le département dans lequel se trouve votre projet ainsi que l'altitude du lieu. </t>
  </si>
  <si>
    <t xml:space="preserve">Ces données permettront, à partir des données géographiques et météorologiques, de déterminer la température extérieure de base, utile pour le dimensionnement de la PAC. </t>
  </si>
  <si>
    <t>2.</t>
  </si>
  <si>
    <t xml:space="preserve">Indiquez les caractéristiques du bâtiment </t>
  </si>
  <si>
    <t>3.</t>
  </si>
  <si>
    <t>Indiquez le nombre de personnes dans le logement et la consommation d'eau chaude journalière et la consommation annuelle d'énergie (dans cet exemple le volume de fioul).</t>
  </si>
  <si>
    <t>Il est nécessaire de déterminer les déperditions du bâtiment. Plusieurs méthodes sont possibles :</t>
  </si>
  <si>
    <t>- La puissance de déperditions est connue. Indiquez "OUI" dans le menu "Déperditions connues?" puis entrez la valeur en kW dans la case correspondante.</t>
  </si>
  <si>
    <t>- La puissance de déperditions n'est pas connue. Indiquez "NON" dans le menu "Déperditions connues?".</t>
  </si>
  <si>
    <t>- Si vous connaissez le coefficient d'isolation G, indiquez "OUI" dans "Niveau d'isolation connu?" puis suivez les différentes étapes.</t>
  </si>
  <si>
    <t>- Si vous ne connaissez pas  le coefficient d'isolation G, indiquez "NON" dans "Niveau d'isolation connu?" puis suivez les différentes étapes.</t>
  </si>
  <si>
    <t xml:space="preserve">Vous obtiendrez finalement une puissance qui caractérise les déperditions du bâtiment. </t>
  </si>
  <si>
    <t>4.</t>
  </si>
  <si>
    <t>Indiquez le type de chaudière souhaité, ainsi que l'appoint et le type de production ECS.</t>
  </si>
  <si>
    <t>5.</t>
  </si>
  <si>
    <t>Si vous avez sélectionné une chaudière bois bûches, indiquez le nombre de charges / jour assurées par l'utilisateur.</t>
  </si>
  <si>
    <t>(Une charge correspond à un remplissage de la chaudière)</t>
  </si>
  <si>
    <t>Si vous avez sélectionné une chaudière bois granulés (CPA), l'alimentation en granulés en automatique grâce au petit réservoir intégré.</t>
  </si>
  <si>
    <t>Il faut néanmoins penser à le recharger régulièrement.</t>
  </si>
  <si>
    <t>Le tableau indique le nombre de charges à effectuer pour satisfaire les besoins en chaleur.</t>
  </si>
  <si>
    <t>En cas de fortes puissances nécessaires, l'appoint peut se déclencher.</t>
  </si>
  <si>
    <t>Choisissez le modèle souhaité :</t>
  </si>
  <si>
    <t>6.</t>
  </si>
  <si>
    <t>La monotone permet de montrer la couverture de la chaudière bois installée.</t>
  </si>
  <si>
    <t>La partie jaune/orange correspond à une couverture biomasse.</t>
  </si>
  <si>
    <t>La partie rouge correspond à la couverture de l'appoint.</t>
  </si>
  <si>
    <t>7.</t>
  </si>
  <si>
    <t>Un dernier graphique permet d'indiquer le coût annuel de la solution.</t>
  </si>
  <si>
    <t>D'autres solutions sont indiquées pour montrer l'économie annuelle.</t>
  </si>
  <si>
    <t>8.</t>
  </si>
  <si>
    <t>Pour finir, un estimatif énergétique est donnée pour montrer le taux de couverture annuel de la solution bois.</t>
  </si>
  <si>
    <t>Un récapitulatif de la solution choisie est également indiqué.</t>
  </si>
  <si>
    <t>Fin de la notice d'utilisation</t>
  </si>
  <si>
    <t>Cliquez sur l'onglet "Données" pour commencer.</t>
  </si>
  <si>
    <t>Au 02/2020</t>
  </si>
  <si>
    <t>Au 01/2020</t>
  </si>
  <si>
    <t>Au 11/2019</t>
  </si>
  <si>
    <t>Au 04/02/2020</t>
  </si>
  <si>
    <t>Maj tarif energie</t>
  </si>
  <si>
    <t>24 kW</t>
  </si>
  <si>
    <t>Masquer les chaudières granulés 18 et 32 Kw &lt;=&gt; Uniquement la 24 dispo</t>
  </si>
  <si>
    <t>Version 04/2020</t>
  </si>
  <si>
    <t>CBI GS (tirage naturel)</t>
  </si>
  <si>
    <t>OCBI C (combustion inversée)</t>
  </si>
  <si>
    <t>OCBB (tirage naturel)</t>
  </si>
  <si>
    <t>OEtraPellet Basic</t>
  </si>
  <si>
    <t>OEtraPellet Compact</t>
  </si>
  <si>
    <t>Il est désormais possible de dimensionner des chaudières granulés (voir OEtraPellet)</t>
  </si>
  <si>
    <t>Les résultats de cette feuille de calcul sont donnés à titre indicatif. La responsabilité de OERTLI ne peut en aucun cas être engagée.</t>
  </si>
  <si>
    <t>OCBB 15 E</t>
  </si>
  <si>
    <t>CBI 20 GS</t>
  </si>
  <si>
    <t>CBI 32 GS</t>
  </si>
  <si>
    <t>OCBI 30-C5</t>
  </si>
  <si>
    <t>OEtraPellet 24 Basic</t>
  </si>
  <si>
    <t>OEtraPellet 24 Compact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</si>
</sst>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7" formatCode="#,##0.00\ &quot;€&quot;;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.000"/>
    <numFmt numFmtId="166" formatCode="d\ mmmm\ yyyy"/>
    <numFmt numFmtId="167" formatCode="#,##0.000\ &quot;€&quot;"/>
    <numFmt numFmtId="168" formatCode="#,##0.00\ &quot;€&quot;"/>
    <numFmt numFmtId="169" formatCode="0.0%"/>
    <numFmt numFmtId="170" formatCode="_-* #,##0.00\ [$€-1]_-;\-* #,##0.00\ [$€-1]_-;_-* &quot;-&quot;??\ [$€-1]_-"/>
    <numFmt numFmtId="171" formatCode="_-&quot;€&quot;\ * #,##0.00_-;_-&quot;€&quot;\ * #,##0.00\-;_-&quot;€&quot;\ * &quot;-&quot;??_-;_-@_-"/>
    <numFmt numFmtId="172" formatCode="_-* #,##0.00\ &quot;F&quot;_-;\-* #,##0.00\ &quot;F&quot;_-;_-* &quot;-&quot;??\ &quot;F&quot;_-;_-@_-"/>
    <numFmt numFmtId="173" formatCode="_-&quot;fl&quot;\ * #,##0_-;_-&quot;fl&quot;\ * #,##0\-;_-&quot;fl&quot;\ * &quot;-&quot;_-;_-@_-"/>
    <numFmt numFmtId="174" formatCode="_-&quot;fl&quot;\ * #,##0.00_-;_-&quot;fl&quot;\ * #,##0.00\-;_-&quot;fl&quot;\ * &quot;-&quot;??_-;_-@_-"/>
    <numFmt numFmtId="175" formatCode="0.0000"/>
  </numFmts>
  <fonts count="8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4"/>
      <color indexed="12"/>
      <name val="Arial"/>
      <family val="2"/>
    </font>
    <font>
      <sz val="12"/>
      <name val="Arial"/>
      <family val="2"/>
    </font>
    <font>
      <b/>
      <i/>
      <sz val="14"/>
      <name val="Arial"/>
      <family val="2"/>
    </font>
    <font>
      <u/>
      <sz val="10"/>
      <color indexed="12"/>
      <name val="Arial"/>
      <family val="2"/>
    </font>
    <font>
      <b/>
      <sz val="8"/>
      <color indexed="81"/>
      <name val="Tahoma"/>
      <family val="2"/>
    </font>
    <font>
      <b/>
      <u/>
      <sz val="12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sz val="10"/>
      <color indexed="9"/>
      <name val="Arial"/>
      <family val="2"/>
    </font>
    <font>
      <b/>
      <i/>
      <sz val="13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6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i/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10"/>
      <name val="Arial"/>
      <family val="2"/>
    </font>
    <font>
      <sz val="24"/>
      <name val="Arial"/>
      <family val="2"/>
    </font>
    <font>
      <b/>
      <sz val="14"/>
      <color indexed="10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u/>
      <sz val="12"/>
      <color indexed="9"/>
      <name val="Arial"/>
      <family val="2"/>
    </font>
    <font>
      <sz val="10"/>
      <color indexed="9"/>
      <name val="Arial"/>
      <family val="2"/>
    </font>
    <font>
      <sz val="10"/>
      <color indexed="81"/>
      <name val="Tahoma"/>
      <family val="2"/>
    </font>
    <font>
      <b/>
      <sz val="12"/>
      <color indexed="10"/>
      <name val="Arial"/>
      <family val="2"/>
    </font>
    <font>
      <i/>
      <sz val="10"/>
      <name val="Arial"/>
      <family val="2"/>
    </font>
    <font>
      <sz val="10"/>
      <name val="Times New Roman"/>
      <family val="1"/>
    </font>
    <font>
      <b/>
      <sz val="12"/>
      <color indexed="48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i/>
      <sz val="14"/>
      <color indexed="10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b/>
      <u/>
      <sz val="18"/>
      <name val="Arial"/>
      <family val="2"/>
    </font>
    <font>
      <b/>
      <u/>
      <sz val="16"/>
      <color indexed="1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b/>
      <sz val="14"/>
      <color rgb="FFFF0000"/>
      <name val="Arial"/>
      <family val="2"/>
    </font>
    <font>
      <sz val="8"/>
      <name val="Tahoma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b/>
      <i/>
      <u/>
      <sz val="12"/>
      <color rgb="FFFF0000"/>
      <name val="Arial"/>
      <family val="2"/>
    </font>
    <font>
      <sz val="11"/>
      <name val="Arial"/>
      <family val="2"/>
    </font>
    <font>
      <u/>
      <sz val="11"/>
      <color rgb="FF00B0F0"/>
      <name val="Arial"/>
      <family val="2"/>
    </font>
    <font>
      <b/>
      <i/>
      <sz val="18"/>
      <color theme="1" tint="0.249977111117893"/>
      <name val="Arial"/>
      <family val="2"/>
    </font>
    <font>
      <b/>
      <sz val="12"/>
      <color theme="0"/>
      <name val="Arial"/>
      <family val="2"/>
    </font>
    <font>
      <b/>
      <sz val="11"/>
      <color theme="3" tint="0.39997558519241921"/>
      <name val="Arial"/>
      <family val="2"/>
    </font>
    <font>
      <sz val="11"/>
      <color indexed="12"/>
      <name val="Arial"/>
      <family val="2"/>
    </font>
    <font>
      <b/>
      <i/>
      <sz val="28"/>
      <color rgb="FF00B05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FFCC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/>
      <top style="thin">
        <color theme="2" tint="-0.249977111117893"/>
      </top>
      <bottom style="thin">
        <color indexed="55"/>
      </bottom>
      <diagonal/>
    </border>
    <border>
      <left/>
      <right/>
      <top style="thin">
        <color theme="2" tint="-0.249977111117893"/>
      </top>
      <bottom style="thin">
        <color indexed="55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theme="2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2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</borders>
  <cellStyleXfs count="1222">
    <xf numFmtId="0" fontId="0" fillId="0" borderId="0"/>
    <xf numFmtId="44" fontId="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24" fillId="0" borderId="0"/>
    <xf numFmtId="9" fontId="2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7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57" fillId="0" borderId="0"/>
    <xf numFmtId="0" fontId="57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2" borderId="0" applyNumberFormat="0" applyBorder="0" applyAlignment="0" applyProtection="0"/>
    <xf numFmtId="0" fontId="58" fillId="25" borderId="0" applyNumberFormat="0" applyBorder="0" applyAlignment="0" applyProtection="0"/>
    <xf numFmtId="0" fontId="58" fillId="28" borderId="0" applyNumberFormat="0" applyBorder="0" applyAlignment="0" applyProtection="0"/>
    <xf numFmtId="0" fontId="59" fillId="29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6" borderId="0" applyNumberFormat="0" applyBorder="0" applyAlignment="0" applyProtection="0"/>
    <xf numFmtId="0" fontId="69" fillId="0" borderId="0" applyNumberFormat="0" applyFill="0" applyBorder="0" applyAlignment="0" applyProtection="0"/>
    <xf numFmtId="0" fontId="60" fillId="21" borderId="0" applyNumberFormat="0" applyBorder="0" applyAlignment="0" applyProtection="0"/>
    <xf numFmtId="0" fontId="61" fillId="37" borderId="1" applyNumberFormat="0" applyAlignment="0" applyProtection="0"/>
    <xf numFmtId="0" fontId="62" fillId="38" borderId="62" applyNumberFormat="0" applyAlignment="0" applyProtection="0"/>
    <xf numFmtId="0" fontId="63" fillId="0" borderId="63" applyNumberFormat="0" applyFill="0" applyAlignment="0" applyProtection="0"/>
    <xf numFmtId="0" fontId="2" fillId="39" borderId="61" applyNumberFormat="0" applyFont="0" applyAlignment="0" applyProtection="0"/>
    <xf numFmtId="0" fontId="64" fillId="0" borderId="0" applyNumberFormat="0" applyFill="0" applyBorder="0" applyAlignment="0" applyProtection="0"/>
    <xf numFmtId="0" fontId="65" fillId="24" borderId="1" applyNumberFormat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66" fillId="20" borderId="0" applyNumberFormat="0" applyBorder="0" applyAlignment="0" applyProtection="0"/>
    <xf numFmtId="172" fontId="2" fillId="0" borderId="0" applyFont="0" applyFill="0" applyBorder="0" applyAlignment="0" applyProtection="0"/>
    <xf numFmtId="0" fontId="67" fillId="40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68" fillId="37" borderId="64" applyNumberFormat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57" fillId="0" borderId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65" applyNumberFormat="0" applyFill="0" applyAlignment="0" applyProtection="0"/>
    <xf numFmtId="0" fontId="73" fillId="0" borderId="66" applyNumberFormat="0" applyFill="0" applyAlignment="0" applyProtection="0"/>
    <xf numFmtId="0" fontId="64" fillId="0" borderId="67" applyNumberFormat="0" applyFill="0" applyAlignment="0" applyProtection="0"/>
    <xf numFmtId="0" fontId="74" fillId="0" borderId="68" applyNumberFormat="0" applyFill="0" applyAlignment="0" applyProtection="0"/>
    <xf numFmtId="173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2" fillId="39" borderId="6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Border="0"/>
    <xf numFmtId="0" fontId="77" fillId="0" borderId="0"/>
    <xf numFmtId="44" fontId="7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17">
    <xf numFmtId="0" fontId="0" fillId="0" borderId="0" xfId="0"/>
    <xf numFmtId="0" fontId="0" fillId="0" borderId="0" xfId="0" applyFill="1" applyProtection="1"/>
    <xf numFmtId="0" fontId="0" fillId="0" borderId="0" xfId="0" applyProtection="1"/>
    <xf numFmtId="0" fontId="0" fillId="0" borderId="0" xfId="0" applyBorder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3" fillId="0" borderId="0" xfId="0" applyFont="1" applyFill="1" applyProtection="1"/>
    <xf numFmtId="0" fontId="13" fillId="0" borderId="0" xfId="0" applyFont="1" applyProtection="1"/>
    <xf numFmtId="0" fontId="7" fillId="0" borderId="0" xfId="0" applyFont="1" applyFill="1" applyProtection="1"/>
    <xf numFmtId="0" fontId="7" fillId="0" borderId="0" xfId="0" applyFont="1" applyFill="1" applyBorder="1" applyProtection="1"/>
    <xf numFmtId="2" fontId="0" fillId="0" borderId="0" xfId="0" applyNumberFormat="1" applyFill="1" applyBorder="1" applyAlignment="1" applyProtection="1">
      <alignment horizontal="center"/>
    </xf>
    <xf numFmtId="0" fontId="8" fillId="0" borderId="0" xfId="0" applyFont="1" applyProtection="1"/>
    <xf numFmtId="0" fontId="10" fillId="0" borderId="0" xfId="0" applyFont="1" applyProtection="1"/>
    <xf numFmtId="0" fontId="8" fillId="0" borderId="0" xfId="0" applyFont="1" applyFill="1" applyBorder="1" applyAlignment="1" applyProtection="1">
      <alignment horizontal="right"/>
    </xf>
    <xf numFmtId="0" fontId="10" fillId="0" borderId="0" xfId="0" applyFont="1" applyFill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Protection="1"/>
    <xf numFmtId="0" fontId="5" fillId="0" borderId="0" xfId="0" applyFont="1" applyProtection="1"/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 applyProtection="1">
      <alignment horizontal="center"/>
    </xf>
    <xf numFmtId="0" fontId="12" fillId="0" borderId="0" xfId="0" applyFont="1" applyFill="1" applyBorder="1" applyAlignment="1" applyProtection="1">
      <alignment horizontal="left"/>
    </xf>
    <xf numFmtId="2" fontId="0" fillId="0" borderId="0" xfId="0" applyNumberFormat="1" applyFill="1" applyAlignment="1" applyProtection="1">
      <alignment horizont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wrapText="1" shrinkToFit="1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/>
    </xf>
    <xf numFmtId="1" fontId="0" fillId="0" borderId="4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 wrapText="1" shrinkToFit="1"/>
    </xf>
    <xf numFmtId="0" fontId="17" fillId="0" borderId="0" xfId="0" applyFont="1" applyProtection="1"/>
    <xf numFmtId="0" fontId="8" fillId="0" borderId="0" xfId="0" applyFont="1" applyFill="1" applyProtection="1"/>
    <xf numFmtId="165" fontId="0" fillId="0" borderId="0" xfId="0" applyNumberFormat="1"/>
    <xf numFmtId="0" fontId="2" fillId="0" borderId="0" xfId="0" applyFont="1"/>
    <xf numFmtId="1" fontId="19" fillId="0" borderId="4" xfId="0" applyNumberFormat="1" applyFont="1" applyBorder="1" applyAlignment="1">
      <alignment horizontal="center"/>
    </xf>
    <xf numFmtId="1" fontId="19" fillId="0" borderId="4" xfId="0" applyNumberFormat="1" applyFont="1" applyFill="1" applyBorder="1" applyAlignment="1">
      <alignment horizontal="center"/>
    </xf>
    <xf numFmtId="0" fontId="0" fillId="3" borderId="0" xfId="0" applyFill="1" applyProtection="1"/>
    <xf numFmtId="0" fontId="7" fillId="3" borderId="0" xfId="0" applyFont="1" applyFill="1" applyProtection="1"/>
    <xf numFmtId="0" fontId="0" fillId="3" borderId="0" xfId="0" applyFill="1" applyBorder="1" applyProtection="1"/>
    <xf numFmtId="0" fontId="0" fillId="3" borderId="0" xfId="0" applyFill="1" applyBorder="1" applyAlignment="1" applyProtection="1">
      <alignment horizontal="right"/>
    </xf>
    <xf numFmtId="0" fontId="7" fillId="3" borderId="0" xfId="0" applyFont="1" applyFill="1" applyBorder="1" applyProtection="1"/>
    <xf numFmtId="2" fontId="0" fillId="3" borderId="0" xfId="0" applyNumberFormat="1" applyFill="1" applyBorder="1" applyAlignment="1" applyProtection="1">
      <alignment horizontal="center"/>
    </xf>
    <xf numFmtId="1" fontId="0" fillId="3" borderId="0" xfId="0" applyNumberFormat="1" applyFill="1" applyBorder="1" applyAlignment="1" applyProtection="1">
      <alignment horizontal="center"/>
    </xf>
    <xf numFmtId="2" fontId="0" fillId="3" borderId="0" xfId="0" applyNumberFormat="1" applyFill="1" applyAlignment="1" applyProtection="1">
      <alignment horizontal="center"/>
    </xf>
    <xf numFmtId="0" fontId="8" fillId="3" borderId="0" xfId="0" applyFont="1" applyFill="1" applyProtection="1"/>
    <xf numFmtId="0" fontId="5" fillId="3" borderId="0" xfId="0" applyFont="1" applyFill="1" applyAlignment="1" applyProtection="1">
      <alignment horizontal="center"/>
    </xf>
    <xf numFmtId="0" fontId="13" fillId="3" borderId="0" xfId="0" applyFont="1" applyFill="1" applyProtection="1"/>
    <xf numFmtId="0" fontId="0" fillId="3" borderId="0" xfId="0" applyFill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0" fontId="8" fillId="3" borderId="0" xfId="0" applyFont="1" applyFill="1" applyAlignment="1" applyProtection="1">
      <alignment horizontal="right"/>
    </xf>
    <xf numFmtId="167" fontId="18" fillId="3" borderId="0" xfId="0" applyNumberFormat="1" applyFont="1" applyFill="1" applyBorder="1" applyAlignment="1" applyProtection="1">
      <alignment horizontal="left"/>
    </xf>
    <xf numFmtId="0" fontId="7" fillId="3" borderId="0" xfId="0" applyFont="1" applyFill="1" applyAlignment="1" applyProtection="1">
      <alignment horizontal="center"/>
    </xf>
    <xf numFmtId="168" fontId="18" fillId="3" borderId="0" xfId="0" applyNumberFormat="1" applyFont="1" applyFill="1" applyBorder="1" applyAlignment="1" applyProtection="1">
      <alignment horizontal="center"/>
    </xf>
    <xf numFmtId="0" fontId="20" fillId="3" borderId="0" xfId="0" applyFont="1" applyFill="1" applyProtection="1"/>
    <xf numFmtId="0" fontId="17" fillId="3" borderId="0" xfId="0" applyFont="1" applyFill="1" applyProtection="1"/>
    <xf numFmtId="0" fontId="14" fillId="3" borderId="0" xfId="0" applyFont="1" applyFill="1" applyProtection="1"/>
    <xf numFmtId="0" fontId="7" fillId="3" borderId="0" xfId="0" applyFont="1" applyFill="1" applyAlignment="1" applyProtection="1">
      <alignment horizontal="left"/>
    </xf>
    <xf numFmtId="167" fontId="13" fillId="3" borderId="0" xfId="0" applyNumberFormat="1" applyFont="1" applyFill="1" applyAlignment="1" applyProtection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21" fillId="0" borderId="0" xfId="0" applyFont="1" applyFill="1" applyAlignment="1" applyProtection="1">
      <alignment horizontal="center"/>
    </xf>
    <xf numFmtId="0" fontId="0" fillId="0" borderId="0" xfId="0" applyFill="1"/>
    <xf numFmtId="0" fontId="0" fillId="0" borderId="0" xfId="0" applyBorder="1"/>
    <xf numFmtId="0" fontId="0" fillId="3" borderId="0" xfId="0" applyFill="1"/>
    <xf numFmtId="17" fontId="0" fillId="3" borderId="0" xfId="0" applyNumberFormat="1" applyFill="1" applyBorder="1" applyAlignment="1" applyProtection="1">
      <alignment horizontal="right"/>
    </xf>
    <xf numFmtId="0" fontId="9" fillId="3" borderId="0" xfId="0" applyFont="1" applyFill="1" applyAlignment="1" applyProtection="1">
      <alignment horizontal="center"/>
    </xf>
    <xf numFmtId="0" fontId="13" fillId="3" borderId="0" xfId="0" applyFont="1" applyFill="1" applyAlignment="1" applyProtection="1">
      <alignment horizontal="center"/>
    </xf>
    <xf numFmtId="0" fontId="4" fillId="3" borderId="0" xfId="0" applyFont="1" applyFill="1" applyProtection="1"/>
    <xf numFmtId="0" fontId="6" fillId="3" borderId="0" xfId="0" applyFont="1" applyFill="1" applyProtection="1"/>
    <xf numFmtId="0" fontId="10" fillId="3" borderId="0" xfId="0" applyFont="1" applyFill="1" applyProtection="1"/>
    <xf numFmtId="0" fontId="13" fillId="3" borderId="0" xfId="0" applyFont="1" applyFill="1" applyBorder="1" applyProtection="1"/>
    <xf numFmtId="0" fontId="2" fillId="3" borderId="0" xfId="0" applyFont="1" applyFill="1" applyProtection="1"/>
    <xf numFmtId="0" fontId="23" fillId="3" borderId="0" xfId="0" applyFont="1" applyFill="1" applyAlignment="1" applyProtection="1">
      <alignment horizontal="left" vertical="center"/>
    </xf>
    <xf numFmtId="0" fontId="24" fillId="3" borderId="0" xfId="0" applyFont="1" applyFill="1" applyAlignment="1" applyProtection="1">
      <alignment horizontal="center"/>
    </xf>
    <xf numFmtId="0" fontId="24" fillId="3" borderId="0" xfId="0" applyFont="1" applyFill="1" applyProtection="1"/>
    <xf numFmtId="0" fontId="25" fillId="3" borderId="0" xfId="0" applyFont="1" applyFill="1" applyProtection="1"/>
    <xf numFmtId="0" fontId="26" fillId="3" borderId="0" xfId="0" applyFont="1" applyFill="1" applyAlignment="1" applyProtection="1">
      <alignment horizontal="center"/>
    </xf>
    <xf numFmtId="0" fontId="27" fillId="3" borderId="0" xfId="0" applyFont="1" applyFill="1" applyAlignment="1" applyProtection="1">
      <alignment horizontal="center"/>
    </xf>
    <xf numFmtId="0" fontId="27" fillId="3" borderId="0" xfId="0" applyFont="1" applyFill="1" applyProtection="1"/>
    <xf numFmtId="0" fontId="27" fillId="3" borderId="0" xfId="0" applyFont="1" applyFill="1" applyBorder="1" applyProtection="1"/>
    <xf numFmtId="0" fontId="27" fillId="3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Alignment="1" applyProtection="1">
      <alignment horizontal="left"/>
    </xf>
    <xf numFmtId="1" fontId="0" fillId="0" borderId="0" xfId="0" applyNumberFormat="1" applyFill="1" applyBorder="1" applyAlignment="1" applyProtection="1">
      <alignment horizontal="center"/>
    </xf>
    <xf numFmtId="0" fontId="0" fillId="0" borderId="0" xfId="0" applyBorder="1" applyProtection="1"/>
    <xf numFmtId="1" fontId="33" fillId="0" borderId="0" xfId="0" applyNumberFormat="1" applyFont="1" applyFill="1" applyAlignment="1" applyProtection="1">
      <alignment horizontal="center"/>
    </xf>
    <xf numFmtId="0" fontId="30" fillId="0" borderId="0" xfId="0" applyFont="1" applyAlignment="1" applyProtection="1">
      <alignment vertical="center"/>
    </xf>
    <xf numFmtId="1" fontId="5" fillId="0" borderId="0" xfId="0" applyNumberFormat="1" applyFont="1" applyFill="1" applyAlignment="1" applyProtection="1">
      <alignment horizontal="center"/>
    </xf>
    <xf numFmtId="0" fontId="33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right"/>
    </xf>
    <xf numFmtId="0" fontId="38" fillId="3" borderId="0" xfId="0" applyFont="1" applyFill="1" applyAlignment="1" applyProtection="1">
      <alignment horizontal="center"/>
    </xf>
    <xf numFmtId="0" fontId="14" fillId="4" borderId="0" xfId="0" applyFont="1" applyFill="1" applyProtection="1"/>
    <xf numFmtId="0" fontId="0" fillId="4" borderId="0" xfId="0" applyFill="1" applyProtection="1"/>
    <xf numFmtId="0" fontId="0" fillId="4" borderId="0" xfId="0" applyFill="1" applyAlignment="1" applyProtection="1">
      <alignment horizontal="center"/>
    </xf>
    <xf numFmtId="0" fontId="13" fillId="0" borderId="0" xfId="0" applyFont="1" applyAlignment="1" applyProtection="1">
      <alignment wrapText="1"/>
    </xf>
    <xf numFmtId="2" fontId="42" fillId="0" borderId="0" xfId="0" applyNumberFormat="1" applyFont="1" applyAlignment="1" applyProtection="1">
      <alignment horizontal="center"/>
    </xf>
    <xf numFmtId="0" fontId="43" fillId="3" borderId="0" xfId="0" applyFont="1" applyFill="1" applyProtection="1"/>
    <xf numFmtId="0" fontId="43" fillId="0" borderId="0" xfId="0" applyFont="1" applyFill="1" applyAlignment="1" applyProtection="1">
      <alignment horizontal="center"/>
    </xf>
    <xf numFmtId="0" fontId="43" fillId="3" borderId="0" xfId="0" applyFont="1" applyFill="1" applyAlignment="1" applyProtection="1">
      <alignment horizontal="center"/>
    </xf>
    <xf numFmtId="0" fontId="8" fillId="4" borderId="0" xfId="0" applyFont="1" applyFill="1" applyProtection="1"/>
    <xf numFmtId="0" fontId="5" fillId="4" borderId="0" xfId="0" applyFont="1" applyFill="1" applyAlignment="1" applyProtection="1">
      <alignment horizontal="center"/>
    </xf>
    <xf numFmtId="0" fontId="13" fillId="4" borderId="0" xfId="0" applyFont="1" applyFill="1" applyProtection="1"/>
    <xf numFmtId="0" fontId="0" fillId="4" borderId="0" xfId="0" applyFill="1" applyBorder="1" applyAlignment="1" applyProtection="1">
      <alignment horizontal="center"/>
    </xf>
    <xf numFmtId="0" fontId="15" fillId="0" borderId="0" xfId="2" applyAlignment="1" applyProtection="1"/>
    <xf numFmtId="0" fontId="31" fillId="0" borderId="0" xfId="0" applyFont="1" applyProtection="1"/>
    <xf numFmtId="0" fontId="22" fillId="0" borderId="0" xfId="0" applyFont="1" applyFill="1" applyProtection="1"/>
    <xf numFmtId="9" fontId="0" fillId="0" borderId="0" xfId="0" applyNumberFormat="1"/>
    <xf numFmtId="9" fontId="46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9" fontId="0" fillId="0" borderId="4" xfId="4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6" fillId="0" borderId="0" xfId="0" applyFont="1" applyFill="1" applyProtection="1"/>
    <xf numFmtId="164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28" fillId="3" borderId="0" xfId="0" applyFont="1" applyFill="1" applyBorder="1" applyAlignment="1" applyProtection="1">
      <alignment vertical="center"/>
      <protection locked="0"/>
    </xf>
    <xf numFmtId="0" fontId="19" fillId="0" borderId="0" xfId="0" applyFont="1" applyProtection="1"/>
    <xf numFmtId="0" fontId="50" fillId="0" borderId="0" xfId="0" applyFont="1" applyFill="1" applyAlignment="1" applyProtection="1">
      <alignment horizontal="right"/>
    </xf>
    <xf numFmtId="0" fontId="49" fillId="0" borderId="0" xfId="0" applyFont="1" applyAlignment="1" applyProtection="1">
      <alignment horizontal="right" vertical="center"/>
    </xf>
    <xf numFmtId="0" fontId="35" fillId="0" borderId="0" xfId="0" applyFont="1" applyFill="1" applyAlignment="1" applyProtection="1">
      <alignment horizontal="left"/>
    </xf>
    <xf numFmtId="0" fontId="0" fillId="3" borderId="0" xfId="0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2" fontId="0" fillId="0" borderId="0" xfId="0" applyNumberForma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right" vertical="center"/>
    </xf>
    <xf numFmtId="0" fontId="8" fillId="0" borderId="0" xfId="0" applyFont="1" applyAlignment="1" applyProtection="1">
      <alignment horizontal="left" vertical="center"/>
    </xf>
    <xf numFmtId="0" fontId="28" fillId="4" borderId="5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vertical="center"/>
    </xf>
    <xf numFmtId="0" fontId="0" fillId="6" borderId="0" xfId="0" applyFill="1" applyProtection="1"/>
    <xf numFmtId="0" fontId="0" fillId="7" borderId="0" xfId="0" applyFill="1" applyProtection="1"/>
    <xf numFmtId="164" fontId="47" fillId="4" borderId="1" xfId="0" applyNumberFormat="1" applyFont="1" applyFill="1" applyBorder="1" applyAlignment="1" applyProtection="1">
      <alignment horizontal="center" vertical="center"/>
    </xf>
    <xf numFmtId="169" fontId="35" fillId="4" borderId="5" xfId="4" applyNumberFormat="1" applyFont="1" applyFill="1" applyBorder="1" applyAlignment="1" applyProtection="1">
      <alignment horizontal="center"/>
    </xf>
    <xf numFmtId="168" fontId="13" fillId="3" borderId="0" xfId="3" applyNumberFormat="1" applyFont="1" applyFill="1" applyAlignment="1" applyProtection="1">
      <alignment horizontal="center"/>
    </xf>
    <xf numFmtId="0" fontId="24" fillId="3" borderId="0" xfId="3" applyFill="1" applyAlignment="1" applyProtection="1">
      <alignment horizontal="center"/>
    </xf>
    <xf numFmtId="0" fontId="24" fillId="3" borderId="0" xfId="3" applyFill="1" applyProtection="1"/>
    <xf numFmtId="0" fontId="7" fillId="0" borderId="0" xfId="0" applyFont="1"/>
    <xf numFmtId="0" fontId="0" fillId="8" borderId="4" xfId="0" applyFill="1" applyBorder="1"/>
    <xf numFmtId="0" fontId="0" fillId="10" borderId="4" xfId="0" applyFill="1" applyBorder="1"/>
    <xf numFmtId="164" fontId="44" fillId="0" borderId="4" xfId="0" applyNumberFormat="1" applyFont="1" applyBorder="1" applyAlignment="1">
      <alignment horizontal="center"/>
    </xf>
    <xf numFmtId="1" fontId="44" fillId="0" borderId="4" xfId="0" applyNumberFormat="1" applyFont="1" applyBorder="1" applyAlignment="1">
      <alignment horizontal="center"/>
    </xf>
    <xf numFmtId="0" fontId="0" fillId="0" borderId="18" xfId="0" applyBorder="1"/>
    <xf numFmtId="0" fontId="0" fillId="0" borderId="20" xfId="0" applyBorder="1"/>
    <xf numFmtId="3" fontId="0" fillId="0" borderId="0" xfId="0" applyNumberFormat="1" applyBorder="1"/>
    <xf numFmtId="0" fontId="0" fillId="0" borderId="21" xfId="0" applyBorder="1"/>
    <xf numFmtId="0" fontId="0" fillId="0" borderId="22" xfId="0" applyBorder="1"/>
    <xf numFmtId="0" fontId="0" fillId="0" borderId="10" xfId="0" applyBorder="1"/>
    <xf numFmtId="0" fontId="0" fillId="0" borderId="23" xfId="0" applyBorder="1"/>
    <xf numFmtId="2" fontId="0" fillId="0" borderId="0" xfId="0" applyNumberFormat="1" applyBorder="1"/>
    <xf numFmtId="0" fontId="5" fillId="9" borderId="17" xfId="0" applyFont="1" applyFill="1" applyBorder="1"/>
    <xf numFmtId="0" fontId="5" fillId="9" borderId="18" xfId="0" applyFont="1" applyFill="1" applyBorder="1"/>
    <xf numFmtId="0" fontId="0" fillId="9" borderId="18" xfId="0" applyFill="1" applyBorder="1"/>
    <xf numFmtId="0" fontId="5" fillId="9" borderId="18" xfId="0" applyFont="1" applyFill="1" applyBorder="1" applyAlignment="1">
      <alignment horizontal="right"/>
    </xf>
    <xf numFmtId="0" fontId="0" fillId="9" borderId="19" xfId="0" applyFill="1" applyBorder="1"/>
    <xf numFmtId="0" fontId="0" fillId="11" borderId="0" xfId="0" applyFill="1"/>
    <xf numFmtId="0" fontId="5" fillId="11" borderId="0" xfId="0" applyFont="1" applyFill="1"/>
    <xf numFmtId="0" fontId="5" fillId="11" borderId="0" xfId="0" applyFont="1" applyFill="1" applyBorder="1"/>
    <xf numFmtId="0" fontId="5" fillId="0" borderId="20" xfId="0" applyFont="1" applyBorder="1"/>
    <xf numFmtId="0" fontId="5" fillId="0" borderId="20" xfId="0" applyFont="1" applyBorder="1" applyAlignment="1">
      <alignment horizontal="left"/>
    </xf>
    <xf numFmtId="0" fontId="7" fillId="0" borderId="20" xfId="0" applyFont="1" applyBorder="1"/>
    <xf numFmtId="0" fontId="3" fillId="0" borderId="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Border="1" applyAlignment="1">
      <alignment horizontal="left" indent="1"/>
    </xf>
    <xf numFmtId="0" fontId="0" fillId="10" borderId="0" xfId="0" applyFill="1"/>
    <xf numFmtId="0" fontId="7" fillId="0" borderId="20" xfId="0" applyFont="1" applyFill="1" applyBorder="1" applyAlignment="1">
      <alignment horizontal="right"/>
    </xf>
    <xf numFmtId="0" fontId="7" fillId="0" borderId="10" xfId="0" applyFont="1" applyBorder="1"/>
    <xf numFmtId="0" fontId="5" fillId="0" borderId="0" xfId="0" applyFont="1" applyBorder="1"/>
    <xf numFmtId="0" fontId="0" fillId="0" borderId="17" xfId="0" applyBorder="1"/>
    <xf numFmtId="0" fontId="3" fillId="0" borderId="18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0" fontId="7" fillId="0" borderId="0" xfId="0" quotePrefix="1" applyFont="1" applyBorder="1"/>
    <xf numFmtId="0" fontId="5" fillId="9" borderId="6" xfId="0" applyFont="1" applyFill="1" applyBorder="1"/>
    <xf numFmtId="0" fontId="0" fillId="0" borderId="20" xfId="0" applyFill="1" applyBorder="1"/>
    <xf numFmtId="0" fontId="0" fillId="0" borderId="22" xfId="0" applyFill="1" applyBorder="1"/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7" fillId="9" borderId="24" xfId="0" applyFont="1" applyFill="1" applyBorder="1"/>
    <xf numFmtId="0" fontId="7" fillId="9" borderId="7" xfId="0" applyFont="1" applyFill="1" applyBorder="1"/>
    <xf numFmtId="0" fontId="0" fillId="11" borderId="0" xfId="0" applyFill="1" applyAlignment="1">
      <alignment horizontal="left"/>
    </xf>
    <xf numFmtId="0" fontId="0" fillId="0" borderId="0" xfId="0"/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0" xfId="0" applyFill="1"/>
    <xf numFmtId="0" fontId="0" fillId="0" borderId="0" xfId="0" applyBorder="1"/>
    <xf numFmtId="1" fontId="0" fillId="0" borderId="0" xfId="0" applyNumberFormat="1" applyBorder="1"/>
    <xf numFmtId="0" fontId="0" fillId="9" borderId="17" xfId="0" applyFill="1" applyBorder="1"/>
    <xf numFmtId="0" fontId="5" fillId="9" borderId="19" xfId="0" applyFont="1" applyFill="1" applyBorder="1"/>
    <xf numFmtId="0" fontId="0" fillId="0" borderId="19" xfId="0" applyBorder="1"/>
    <xf numFmtId="0" fontId="5" fillId="9" borderId="19" xfId="0" applyFont="1" applyFill="1" applyBorder="1" applyAlignment="1">
      <alignment horizontal="center"/>
    </xf>
    <xf numFmtId="9" fontId="0" fillId="0" borderId="0" xfId="4" applyFont="1" applyBorder="1"/>
    <xf numFmtId="1" fontId="0" fillId="0" borderId="10" xfId="0" applyNumberFormat="1" applyBorder="1"/>
    <xf numFmtId="0" fontId="5" fillId="9" borderId="4" xfId="0" applyFont="1" applyFill="1" applyBorder="1"/>
    <xf numFmtId="0" fontId="0" fillId="9" borderId="20" xfId="0" applyFill="1" applyBorder="1"/>
    <xf numFmtId="0" fontId="0" fillId="9" borderId="22" xfId="0" applyFill="1" applyBorder="1"/>
    <xf numFmtId="0" fontId="0" fillId="9" borderId="2" xfId="0" applyFill="1" applyBorder="1"/>
    <xf numFmtId="0" fontId="0" fillId="0" borderId="8" xfId="0" applyBorder="1"/>
    <xf numFmtId="0" fontId="0" fillId="0" borderId="3" xfId="0" applyBorder="1"/>
    <xf numFmtId="0" fontId="0" fillId="0" borderId="19" xfId="0" applyFill="1" applyBorder="1"/>
    <xf numFmtId="0" fontId="0" fillId="9" borderId="6" xfId="0" applyFill="1" applyBorder="1"/>
    <xf numFmtId="0" fontId="0" fillId="0" borderId="7" xfId="0" applyBorder="1"/>
    <xf numFmtId="0" fontId="0" fillId="9" borderId="4" xfId="0" applyFill="1" applyBorder="1"/>
    <xf numFmtId="0" fontId="0" fillId="0" borderId="4" xfId="0" applyFill="1" applyBorder="1"/>
    <xf numFmtId="0" fontId="7" fillId="9" borderId="4" xfId="0" applyFont="1" applyFill="1" applyBorder="1"/>
    <xf numFmtId="0" fontId="5" fillId="9" borderId="2" xfId="0" applyFont="1" applyFill="1" applyBorder="1"/>
    <xf numFmtId="0" fontId="0" fillId="0" borderId="6" xfId="0" applyBorder="1"/>
    <xf numFmtId="2" fontId="0" fillId="0" borderId="0" xfId="0" applyNumberFormat="1" applyBorder="1" applyAlignment="1">
      <alignment horizontal="center"/>
    </xf>
    <xf numFmtId="0" fontId="0" fillId="0" borderId="0" xfId="0" applyFill="1" applyBorder="1"/>
    <xf numFmtId="0" fontId="5" fillId="0" borderId="21" xfId="0" applyFont="1" applyBorder="1"/>
    <xf numFmtId="0" fontId="7" fillId="0" borderId="21" xfId="0" applyFont="1" applyBorder="1"/>
    <xf numFmtId="0" fontId="0" fillId="13" borderId="0" xfId="0" applyFill="1" applyBorder="1"/>
    <xf numFmtId="0" fontId="0" fillId="0" borderId="21" xfId="0" applyFill="1" applyBorder="1"/>
    <xf numFmtId="0" fontId="0" fillId="0" borderId="23" xfId="0" applyFill="1" applyBorder="1"/>
    <xf numFmtId="0" fontId="5" fillId="9" borderId="17" xfId="0" applyFont="1" applyFill="1" applyBorder="1" applyAlignment="1">
      <alignment horizontal="center"/>
    </xf>
    <xf numFmtId="0" fontId="5" fillId="9" borderId="19" xfId="0" applyFont="1" applyFill="1" applyBorder="1" applyAlignment="1">
      <alignment horizontal="right"/>
    </xf>
    <xf numFmtId="0" fontId="5" fillId="9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17" xfId="0" applyFont="1" applyFill="1" applyBorder="1" applyAlignment="1">
      <alignment horizontal="center" vertical="center"/>
    </xf>
    <xf numFmtId="0" fontId="5" fillId="9" borderId="18" xfId="0" applyFont="1" applyFill="1" applyBorder="1" applyAlignment="1">
      <alignment horizontal="center" vertical="center"/>
    </xf>
    <xf numFmtId="0" fontId="5" fillId="9" borderId="19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right"/>
    </xf>
    <xf numFmtId="0" fontId="5" fillId="12" borderId="20" xfId="0" applyFont="1" applyFill="1" applyBorder="1" applyAlignment="1">
      <alignment horizontal="right"/>
    </xf>
    <xf numFmtId="0" fontId="5" fillId="12" borderId="6" xfId="0" applyFont="1" applyFill="1" applyBorder="1" applyAlignment="1">
      <alignment horizontal="right"/>
    </xf>
    <xf numFmtId="0" fontId="5" fillId="0" borderId="7" xfId="0" applyFont="1" applyBorder="1"/>
    <xf numFmtId="0" fontId="5" fillId="12" borderId="7" xfId="0" applyFont="1" applyFill="1" applyBorder="1"/>
    <xf numFmtId="0" fontId="7" fillId="0" borderId="17" xfId="0" applyFont="1" applyBorder="1" applyAlignment="1">
      <alignment horizontal="right"/>
    </xf>
    <xf numFmtId="0" fontId="7" fillId="0" borderId="19" xfId="0" applyFont="1" applyBorder="1"/>
    <xf numFmtId="0" fontId="7" fillId="14" borderId="20" xfId="0" applyFont="1" applyFill="1" applyBorder="1" applyAlignment="1">
      <alignment horizontal="right"/>
    </xf>
    <xf numFmtId="0" fontId="0" fillId="14" borderId="0" xfId="0" applyFill="1" applyBorder="1"/>
    <xf numFmtId="0" fontId="7" fillId="14" borderId="21" xfId="0" applyFont="1" applyFill="1" applyBorder="1"/>
    <xf numFmtId="0" fontId="7" fillId="0" borderId="20" xfId="0" applyFont="1" applyBorder="1" applyAlignment="1">
      <alignment horizontal="right"/>
    </xf>
    <xf numFmtId="0" fontId="7" fillId="14" borderId="22" xfId="0" applyFont="1" applyFill="1" applyBorder="1" applyAlignment="1">
      <alignment horizontal="right"/>
    </xf>
    <xf numFmtId="0" fontId="0" fillId="14" borderId="23" xfId="0" applyFill="1" applyBorder="1"/>
    <xf numFmtId="10" fontId="0" fillId="14" borderId="0" xfId="0" applyNumberFormat="1" applyFill="1" applyBorder="1"/>
    <xf numFmtId="10" fontId="0" fillId="14" borderId="10" xfId="0" applyNumberFormat="1" applyFill="1" applyBorder="1"/>
    <xf numFmtId="0" fontId="5" fillId="0" borderId="6" xfId="0" applyFont="1" applyFill="1" applyBorder="1" applyAlignment="1">
      <alignment horizontal="right"/>
    </xf>
    <xf numFmtId="0" fontId="5" fillId="12" borderId="0" xfId="0" applyFont="1" applyFill="1" applyBorder="1"/>
    <xf numFmtId="0" fontId="5" fillId="12" borderId="21" xfId="0" applyFont="1" applyFill="1" applyBorder="1"/>
    <xf numFmtId="0" fontId="7" fillId="14" borderId="17" xfId="0" applyFont="1" applyFill="1" applyBorder="1" applyAlignment="1">
      <alignment horizontal="right"/>
    </xf>
    <xf numFmtId="0" fontId="0" fillId="14" borderId="18" xfId="0" applyFill="1" applyBorder="1"/>
    <xf numFmtId="0" fontId="7" fillId="14" borderId="19" xfId="0" applyFont="1" applyFill="1" applyBorder="1"/>
    <xf numFmtId="10" fontId="0" fillId="0" borderId="0" xfId="0" applyNumberFormat="1" applyFill="1" applyBorder="1"/>
    <xf numFmtId="0" fontId="7" fillId="0" borderId="21" xfId="0" applyFont="1" applyFill="1" applyBorder="1"/>
    <xf numFmtId="0" fontId="7" fillId="0" borderId="22" xfId="0" applyFont="1" applyFill="1" applyBorder="1" applyAlignment="1">
      <alignment horizontal="right"/>
    </xf>
    <xf numFmtId="10" fontId="0" fillId="0" borderId="10" xfId="0" applyNumberFormat="1" applyFill="1" applyBorder="1"/>
    <xf numFmtId="0" fontId="0" fillId="0" borderId="0" xfId="0" applyFill="1" applyBorder="1" applyAlignment="1">
      <alignment horizontal="right"/>
    </xf>
    <xf numFmtId="0" fontId="7" fillId="9" borderId="20" xfId="0" applyFont="1" applyFill="1" applyBorder="1"/>
    <xf numFmtId="0" fontId="0" fillId="11" borderId="0" xfId="0" applyFill="1" applyBorder="1"/>
    <xf numFmtId="168" fontId="0" fillId="0" borderId="21" xfId="0" applyNumberFormat="1" applyBorder="1"/>
    <xf numFmtId="0" fontId="0" fillId="15" borderId="0" xfId="0" applyFill="1"/>
    <xf numFmtId="0" fontId="7" fillId="0" borderId="0" xfId="5"/>
    <xf numFmtId="0" fontId="5" fillId="0" borderId="0" xfId="0" applyFont="1" applyFill="1"/>
    <xf numFmtId="0" fontId="7" fillId="0" borderId="4" xfId="0" applyFont="1" applyBorder="1"/>
    <xf numFmtId="165" fontId="0" fillId="13" borderId="4" xfId="0" applyNumberFormat="1" applyFill="1" applyBorder="1"/>
    <xf numFmtId="0" fontId="0" fillId="13" borderId="4" xfId="0" applyFill="1" applyBorder="1"/>
    <xf numFmtId="0" fontId="7" fillId="0" borderId="4" xfId="0" applyFont="1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0" fillId="0" borderId="24" xfId="0" applyFill="1" applyBorder="1"/>
    <xf numFmtId="164" fontId="0" fillId="0" borderId="10" xfId="0" applyNumberFormat="1" applyBorder="1"/>
    <xf numFmtId="164" fontId="0" fillId="0" borderId="0" xfId="0" applyNumberFormat="1" applyBorder="1"/>
    <xf numFmtId="0" fontId="10" fillId="0" borderId="0" xfId="0" applyFont="1" applyFill="1" applyAlignment="1" applyProtection="1">
      <alignment horizontal="center" vertical="center"/>
    </xf>
    <xf numFmtId="0" fontId="0" fillId="0" borderId="20" xfId="0" applyFill="1" applyBorder="1" applyAlignment="1">
      <alignment horizontal="left"/>
    </xf>
    <xf numFmtId="0" fontId="0" fillId="0" borderId="26" xfId="0" applyFill="1" applyBorder="1"/>
    <xf numFmtId="0" fontId="0" fillId="0" borderId="27" xfId="0" applyFill="1" applyBorder="1"/>
    <xf numFmtId="0" fontId="0" fillId="0" borderId="29" xfId="0" applyFill="1" applyBorder="1"/>
    <xf numFmtId="0" fontId="0" fillId="0" borderId="30" xfId="0" applyFill="1" applyBorder="1" applyAlignment="1">
      <alignment horizontal="left"/>
    </xf>
    <xf numFmtId="0" fontId="0" fillId="0" borderId="31" xfId="0" applyFill="1" applyBorder="1"/>
    <xf numFmtId="0" fontId="0" fillId="0" borderId="33" xfId="0" applyFill="1" applyBorder="1"/>
    <xf numFmtId="0" fontId="0" fillId="0" borderId="34" xfId="0" applyFill="1" applyBorder="1"/>
    <xf numFmtId="0" fontId="0" fillId="0" borderId="39" xfId="0" applyFill="1" applyBorder="1"/>
    <xf numFmtId="0" fontId="0" fillId="0" borderId="28" xfId="0" applyFill="1" applyBorder="1" applyAlignment="1">
      <alignment horizontal="left"/>
    </xf>
    <xf numFmtId="0" fontId="5" fillId="0" borderId="35" xfId="0" applyFont="1" applyFill="1" applyBorder="1" applyAlignment="1">
      <alignment horizontal="left"/>
    </xf>
    <xf numFmtId="0" fontId="5" fillId="0" borderId="36" xfId="0" applyFont="1" applyFill="1" applyBorder="1"/>
    <xf numFmtId="0" fontId="5" fillId="0" borderId="0" xfId="0" applyFont="1" applyFill="1" applyBorder="1"/>
    <xf numFmtId="0" fontId="5" fillId="0" borderId="29" xfId="0" applyFont="1" applyFill="1" applyBorder="1"/>
    <xf numFmtId="0" fontId="7" fillId="0" borderId="0" xfId="0" applyFont="1" applyFill="1"/>
    <xf numFmtId="0" fontId="5" fillId="0" borderId="28" xfId="0" applyFont="1" applyFill="1" applyBorder="1" applyAlignment="1">
      <alignment horizontal="left"/>
    </xf>
    <xf numFmtId="0" fontId="5" fillId="0" borderId="0" xfId="5" applyFont="1"/>
    <xf numFmtId="0" fontId="5" fillId="0" borderId="24" xfId="0" applyFont="1" applyFill="1" applyBorder="1"/>
    <xf numFmtId="0" fontId="7" fillId="0" borderId="26" xfId="0" applyFont="1" applyFill="1" applyBorder="1"/>
    <xf numFmtId="0" fontId="7" fillId="0" borderId="0" xfId="0" applyFont="1" applyFill="1" applyBorder="1"/>
    <xf numFmtId="0" fontId="7" fillId="0" borderId="24" xfId="0" applyFont="1" applyFill="1" applyBorder="1"/>
    <xf numFmtId="0" fontId="7" fillId="0" borderId="28" xfId="0" applyFont="1" applyFill="1" applyBorder="1" applyAlignment="1">
      <alignment horizontal="left"/>
    </xf>
    <xf numFmtId="0" fontId="7" fillId="0" borderId="33" xfId="0" applyFont="1" applyFill="1" applyBorder="1"/>
    <xf numFmtId="0" fontId="5" fillId="16" borderId="0" xfId="0" applyFont="1" applyFill="1"/>
    <xf numFmtId="0" fontId="5" fillId="12" borderId="0" xfId="0" applyFont="1" applyFill="1"/>
    <xf numFmtId="0" fontId="7" fillId="0" borderId="30" xfId="0" applyFont="1" applyFill="1" applyBorder="1" applyAlignment="1">
      <alignment horizontal="left"/>
    </xf>
    <xf numFmtId="0" fontId="7" fillId="0" borderId="25" xfId="0" applyFont="1" applyFill="1" applyBorder="1" applyAlignment="1">
      <alignment horizontal="left"/>
    </xf>
    <xf numFmtId="0" fontId="7" fillId="0" borderId="32" xfId="0" applyFont="1" applyFill="1" applyBorder="1" applyAlignment="1">
      <alignment horizontal="left"/>
    </xf>
    <xf numFmtId="0" fontId="7" fillId="0" borderId="38" xfId="0" applyFont="1" applyFill="1" applyBorder="1" applyAlignment="1">
      <alignment horizontal="left"/>
    </xf>
    <xf numFmtId="0" fontId="0" fillId="0" borderId="18" xfId="0" applyFill="1" applyBorder="1"/>
    <xf numFmtId="0" fontId="0" fillId="0" borderId="42" xfId="0" applyFill="1" applyBorder="1"/>
    <xf numFmtId="0" fontId="5" fillId="16" borderId="0" xfId="0" applyFont="1" applyFill="1" applyBorder="1"/>
    <xf numFmtId="0" fontId="7" fillId="16" borderId="0" xfId="0" applyFont="1" applyFill="1" applyBorder="1"/>
    <xf numFmtId="0" fontId="7" fillId="12" borderId="0" xfId="0" applyFont="1" applyFill="1" applyBorder="1"/>
    <xf numFmtId="0" fontId="5" fillId="16" borderId="35" xfId="0" applyFont="1" applyFill="1" applyBorder="1" applyAlignment="1">
      <alignment horizontal="left"/>
    </xf>
    <xf numFmtId="0" fontId="7" fillId="16" borderId="30" xfId="0" applyFont="1" applyFill="1" applyBorder="1" applyAlignment="1">
      <alignment horizontal="left"/>
    </xf>
    <xf numFmtId="0" fontId="7" fillId="16" borderId="28" xfId="0" applyFont="1" applyFill="1" applyBorder="1" applyAlignment="1">
      <alignment horizontal="left"/>
    </xf>
    <xf numFmtId="0" fontId="5" fillId="12" borderId="30" xfId="0" applyFont="1" applyFill="1" applyBorder="1" applyAlignment="1">
      <alignment horizontal="left"/>
    </xf>
    <xf numFmtId="0" fontId="7" fillId="12" borderId="28" xfId="0" applyFont="1" applyFill="1" applyBorder="1" applyAlignment="1">
      <alignment horizontal="left"/>
    </xf>
    <xf numFmtId="0" fontId="7" fillId="12" borderId="32" xfId="0" applyFont="1" applyFill="1" applyBorder="1"/>
    <xf numFmtId="0" fontId="7" fillId="16" borderId="41" xfId="0" applyFont="1" applyFill="1" applyBorder="1" applyAlignment="1">
      <alignment horizontal="left"/>
    </xf>
    <xf numFmtId="0" fontId="5" fillId="16" borderId="25" xfId="0" applyFont="1" applyFill="1" applyBorder="1" applyAlignment="1">
      <alignment horizontal="left"/>
    </xf>
    <xf numFmtId="0" fontId="7" fillId="11" borderId="0" xfId="0" applyFont="1" applyFill="1"/>
    <xf numFmtId="0" fontId="5" fillId="0" borderId="32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/>
    </xf>
    <xf numFmtId="0" fontId="0" fillId="0" borderId="29" xfId="0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0" fontId="0" fillId="0" borderId="39" xfId="0" applyFill="1" applyBorder="1" applyAlignment="1">
      <alignment horizontal="right"/>
    </xf>
    <xf numFmtId="0" fontId="0" fillId="0" borderId="40" xfId="0" applyFill="1" applyBorder="1" applyAlignment="1">
      <alignment horizontal="right"/>
    </xf>
    <xf numFmtId="0" fontId="5" fillId="0" borderId="0" xfId="0" quotePrefix="1" applyFont="1" applyFill="1"/>
    <xf numFmtId="165" fontId="0" fillId="0" borderId="0" xfId="0" applyNumberFormat="1" applyBorder="1"/>
    <xf numFmtId="165" fontId="0" fillId="0" borderId="10" xfId="0" applyNumberFormat="1" applyBorder="1"/>
    <xf numFmtId="0" fontId="5" fillId="9" borderId="18" xfId="0" applyFont="1" applyFill="1" applyBorder="1" applyAlignment="1">
      <alignment horizontal="center"/>
    </xf>
    <xf numFmtId="0" fontId="5" fillId="17" borderId="35" xfId="0" applyFont="1" applyFill="1" applyBorder="1"/>
    <xf numFmtId="0" fontId="5" fillId="17" borderId="37" xfId="0" applyFont="1" applyFill="1" applyBorder="1"/>
    <xf numFmtId="0" fontId="7" fillId="0" borderId="28" xfId="0" applyFont="1" applyFill="1" applyBorder="1"/>
    <xf numFmtId="10" fontId="0" fillId="0" borderId="29" xfId="0" applyNumberFormat="1" applyFill="1" applyBorder="1"/>
    <xf numFmtId="0" fontId="5" fillId="0" borderId="38" xfId="0" applyFont="1" applyFill="1" applyBorder="1"/>
    <xf numFmtId="10" fontId="5" fillId="0" borderId="40" xfId="0" applyNumberFormat="1" applyFont="1" applyFill="1" applyBorder="1"/>
    <xf numFmtId="0" fontId="0" fillId="0" borderId="28" xfId="0" applyFill="1" applyBorder="1"/>
    <xf numFmtId="0" fontId="0" fillId="0" borderId="38" xfId="0" applyFill="1" applyBorder="1"/>
    <xf numFmtId="0" fontId="0" fillId="17" borderId="40" xfId="0" applyFill="1" applyBorder="1"/>
    <xf numFmtId="0" fontId="0" fillId="9" borderId="35" xfId="0" applyFill="1" applyBorder="1"/>
    <xf numFmtId="0" fontId="0" fillId="9" borderId="37" xfId="0" applyFill="1" applyBorder="1"/>
    <xf numFmtId="1" fontId="5" fillId="0" borderId="0" xfId="0" applyNumberFormat="1" applyFont="1" applyFill="1"/>
    <xf numFmtId="1" fontId="5" fillId="12" borderId="24" xfId="0" applyNumberFormat="1" applyFont="1" applyFill="1" applyBorder="1"/>
    <xf numFmtId="0" fontId="5" fillId="17" borderId="28" xfId="0" applyFont="1" applyFill="1" applyBorder="1"/>
    <xf numFmtId="0" fontId="5" fillId="17" borderId="29" xfId="0" applyFont="1" applyFill="1" applyBorder="1"/>
    <xf numFmtId="0" fontId="0" fillId="0" borderId="24" xfId="0" applyFill="1" applyBorder="1" applyAlignment="1">
      <alignment horizontal="right"/>
    </xf>
    <xf numFmtId="0" fontId="5" fillId="0" borderId="30" xfId="0" applyFont="1" applyFill="1" applyBorder="1" applyAlignment="1">
      <alignment horizontal="left"/>
    </xf>
    <xf numFmtId="0" fontId="0" fillId="0" borderId="31" xfId="0" applyFill="1" applyBorder="1" applyAlignment="1">
      <alignment horizontal="right"/>
    </xf>
    <xf numFmtId="0" fontId="5" fillId="17" borderId="15" xfId="0" applyFont="1" applyFill="1" applyBorder="1" applyAlignment="1">
      <alignment horizontal="center"/>
    </xf>
    <xf numFmtId="0" fontId="0" fillId="17" borderId="16" xfId="0" applyFill="1" applyBorder="1"/>
    <xf numFmtId="0" fontId="0" fillId="17" borderId="43" xfId="0" applyFill="1" applyBorder="1"/>
    <xf numFmtId="0" fontId="5" fillId="0" borderId="31" xfId="0" applyFont="1" applyFill="1" applyBorder="1"/>
    <xf numFmtId="0" fontId="5" fillId="0" borderId="37" xfId="0" applyFont="1" applyFill="1" applyBorder="1"/>
    <xf numFmtId="0" fontId="0" fillId="0" borderId="40" xfId="0" applyFill="1" applyBorder="1"/>
    <xf numFmtId="0" fontId="7" fillId="0" borderId="27" xfId="0" applyFont="1" applyFill="1" applyBorder="1"/>
    <xf numFmtId="0" fontId="7" fillId="0" borderId="29" xfId="0" applyFont="1" applyFill="1" applyBorder="1"/>
    <xf numFmtId="0" fontId="7" fillId="0" borderId="34" xfId="0" applyFont="1" applyFill="1" applyBorder="1"/>
    <xf numFmtId="0" fontId="7" fillId="0" borderId="31" xfId="0" applyFont="1" applyFill="1" applyBorder="1"/>
    <xf numFmtId="0" fontId="7" fillId="0" borderId="29" xfId="0" applyFont="1" applyBorder="1"/>
    <xf numFmtId="0" fontId="7" fillId="0" borderId="20" xfId="0" applyFont="1" applyFill="1" applyBorder="1"/>
    <xf numFmtId="1" fontId="5" fillId="0" borderId="0" xfId="0" applyNumberFormat="1" applyFont="1" applyBorder="1"/>
    <xf numFmtId="0" fontId="5" fillId="9" borderId="36" xfId="5" applyFont="1" applyFill="1" applyBorder="1"/>
    <xf numFmtId="0" fontId="5" fillId="13" borderId="36" xfId="5" applyFont="1" applyFill="1" applyBorder="1"/>
    <xf numFmtId="0" fontId="5" fillId="9" borderId="37" xfId="5" applyFont="1" applyFill="1" applyBorder="1"/>
    <xf numFmtId="0" fontId="0" fillId="9" borderId="28" xfId="0" applyFill="1" applyBorder="1"/>
    <xf numFmtId="0" fontId="0" fillId="0" borderId="29" xfId="0" applyBorder="1"/>
    <xf numFmtId="1" fontId="0" fillId="0" borderId="29" xfId="0" applyNumberFormat="1" applyBorder="1"/>
    <xf numFmtId="0" fontId="0" fillId="9" borderId="38" xfId="0" applyFill="1" applyBorder="1"/>
    <xf numFmtId="1" fontId="0" fillId="0" borderId="39" xfId="0" applyNumberFormat="1" applyBorder="1"/>
    <xf numFmtId="1" fontId="0" fillId="13" borderId="39" xfId="0" applyNumberFormat="1" applyFill="1" applyBorder="1"/>
    <xf numFmtId="1" fontId="0" fillId="0" borderId="40" xfId="0" applyNumberFormat="1" applyBorder="1"/>
    <xf numFmtId="1" fontId="0" fillId="13" borderId="0" xfId="0" applyNumberFormat="1" applyFill="1" applyBorder="1"/>
    <xf numFmtId="1" fontId="5" fillId="0" borderId="24" xfId="0" applyNumberFormat="1" applyFont="1" applyBorder="1"/>
    <xf numFmtId="1" fontId="5" fillId="12" borderId="0" xfId="0" applyNumberFormat="1" applyFont="1" applyFill="1" applyBorder="1"/>
    <xf numFmtId="0" fontId="14" fillId="0" borderId="0" xfId="0" applyFont="1" applyFill="1" applyProtection="1"/>
    <xf numFmtId="0" fontId="22" fillId="0" borderId="0" xfId="0" applyFont="1" applyFill="1" applyBorder="1" applyProtection="1"/>
    <xf numFmtId="3" fontId="37" fillId="0" borderId="0" xfId="0" applyNumberFormat="1" applyFont="1" applyFill="1" applyBorder="1" applyAlignment="1" applyProtection="1">
      <alignment horizontal="center"/>
      <protection locked="0"/>
    </xf>
    <xf numFmtId="0" fontId="22" fillId="0" borderId="0" xfId="0" applyFont="1" applyFill="1" applyBorder="1" applyAlignment="1" applyProtection="1">
      <alignment horizontal="left"/>
    </xf>
    <xf numFmtId="0" fontId="28" fillId="0" borderId="0" xfId="0" applyFont="1" applyFill="1" applyBorder="1" applyAlignment="1" applyProtection="1">
      <alignment vertical="center"/>
      <protection locked="0"/>
    </xf>
    <xf numFmtId="0" fontId="0" fillId="0" borderId="46" xfId="0" applyBorder="1" applyProtection="1"/>
    <xf numFmtId="0" fontId="5" fillId="0" borderId="32" xfId="0" applyFont="1" applyFill="1" applyBorder="1" applyAlignment="1">
      <alignment horizontal="left"/>
    </xf>
    <xf numFmtId="0" fontId="5" fillId="0" borderId="33" xfId="0" applyFont="1" applyFill="1" applyBorder="1"/>
    <xf numFmtId="0" fontId="5" fillId="0" borderId="24" xfId="0" applyFont="1" applyFill="1" applyBorder="1" applyAlignment="1">
      <alignment horizontal="right"/>
    </xf>
    <xf numFmtId="0" fontId="5" fillId="0" borderId="31" xfId="0" applyFont="1" applyFill="1" applyBorder="1" applyAlignment="1">
      <alignment horizontal="right"/>
    </xf>
    <xf numFmtId="0" fontId="10" fillId="0" borderId="54" xfId="0" applyFont="1" applyBorder="1" applyAlignment="1" applyProtection="1">
      <alignment vertical="center"/>
    </xf>
    <xf numFmtId="0" fontId="0" fillId="0" borderId="55" xfId="0" applyFill="1" applyBorder="1" applyAlignment="1" applyProtection="1">
      <alignment horizontal="center"/>
    </xf>
    <xf numFmtId="0" fontId="47" fillId="0" borderId="55" xfId="0" applyFont="1" applyBorder="1" applyAlignment="1" applyProtection="1">
      <alignment horizontal="left" vertical="center"/>
    </xf>
    <xf numFmtId="0" fontId="47" fillId="0" borderId="55" xfId="0" applyNumberFormat="1" applyFont="1" applyBorder="1" applyAlignment="1" applyProtection="1">
      <alignment horizontal="left" vertical="center"/>
    </xf>
    <xf numFmtId="9" fontId="47" fillId="0" borderId="55" xfId="0" applyNumberFormat="1" applyFont="1" applyBorder="1" applyAlignment="1" applyProtection="1">
      <alignment horizontal="left" vertical="center"/>
    </xf>
    <xf numFmtId="0" fontId="0" fillId="0" borderId="55" xfId="0" applyFill="1" applyBorder="1" applyAlignment="1" applyProtection="1">
      <alignment horizontal="left"/>
    </xf>
    <xf numFmtId="0" fontId="10" fillId="0" borderId="54" xfId="0" applyFont="1" applyBorder="1" applyAlignment="1" applyProtection="1">
      <alignment horizontal="left" vertical="center" indent="1"/>
    </xf>
    <xf numFmtId="0" fontId="10" fillId="0" borderId="0" xfId="0" applyFont="1" applyBorder="1" applyAlignment="1" applyProtection="1">
      <alignment vertical="center"/>
    </xf>
    <xf numFmtId="0" fontId="0" fillId="0" borderId="56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0" fillId="0" borderId="58" xfId="0" applyFill="1" applyBorder="1" applyProtection="1"/>
    <xf numFmtId="0" fontId="49" fillId="0" borderId="0" xfId="0" applyFont="1" applyAlignment="1" applyProtection="1">
      <alignment horizontal="left" vertical="center"/>
    </xf>
    <xf numFmtId="0" fontId="43" fillId="0" borderId="0" xfId="0" applyFont="1" applyFill="1" applyAlignment="1" applyProtection="1">
      <alignment horizontal="left"/>
    </xf>
    <xf numFmtId="0" fontId="10" fillId="0" borderId="0" xfId="0" applyFont="1" applyFill="1" applyAlignment="1" applyProtection="1">
      <alignment vertical="center"/>
    </xf>
    <xf numFmtId="1" fontId="0" fillId="13" borderId="4" xfId="0" applyNumberFormat="1" applyFill="1" applyBorder="1"/>
    <xf numFmtId="3" fontId="30" fillId="0" borderId="0" xfId="0" applyNumberFormat="1" applyFont="1" applyFill="1" applyAlignment="1" applyProtection="1">
      <alignment horizontal="right" vertical="center"/>
    </xf>
    <xf numFmtId="3" fontId="14" fillId="0" borderId="0" xfId="0" applyNumberFormat="1" applyFont="1" applyFill="1" applyAlignment="1" applyProtection="1">
      <alignment horizontal="right" vertical="center"/>
    </xf>
    <xf numFmtId="3" fontId="10" fillId="0" borderId="0" xfId="0" applyNumberFormat="1" applyFont="1" applyFill="1" applyAlignment="1" applyProtection="1">
      <alignment horizontal="right" vertical="center"/>
    </xf>
    <xf numFmtId="3" fontId="47" fillId="0" borderId="0" xfId="0" applyNumberFormat="1" applyFont="1" applyFill="1" applyAlignment="1" applyProtection="1">
      <alignment horizontal="right" vertical="center"/>
    </xf>
    <xf numFmtId="0" fontId="10" fillId="4" borderId="4" xfId="0" applyFont="1" applyFill="1" applyBorder="1" applyAlignment="1" applyProtection="1">
      <alignment horizontal="center"/>
    </xf>
    <xf numFmtId="0" fontId="52" fillId="0" borderId="0" xfId="0" applyFont="1" applyFill="1" applyAlignment="1" applyProtection="1">
      <alignment horizontal="left"/>
    </xf>
    <xf numFmtId="164" fontId="0" fillId="0" borderId="4" xfId="0" applyNumberFormat="1" applyFill="1" applyBorder="1" applyAlignment="1">
      <alignment horizontal="center"/>
    </xf>
    <xf numFmtId="9" fontId="0" fillId="0" borderId="8" xfId="4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3" fillId="11" borderId="0" xfId="0" applyFont="1" applyFill="1"/>
    <xf numFmtId="0" fontId="30" fillId="11" borderId="0" xfId="0" applyFont="1" applyFill="1"/>
    <xf numFmtId="0" fontId="0" fillId="0" borderId="28" xfId="0" applyBorder="1"/>
    <xf numFmtId="0" fontId="0" fillId="0" borderId="38" xfId="0" applyBorder="1"/>
    <xf numFmtId="0" fontId="0" fillId="0" borderId="40" xfId="0" applyBorder="1"/>
    <xf numFmtId="0" fontId="0" fillId="0" borderId="0" xfId="0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43" xfId="0" applyBorder="1"/>
    <xf numFmtId="0" fontId="5" fillId="0" borderId="60" xfId="0" applyNumberFormat="1" applyFont="1" applyBorder="1" applyAlignment="1" applyProtection="1">
      <alignment horizontal="left" vertical="center"/>
    </xf>
    <xf numFmtId="0" fontId="55" fillId="0" borderId="55" xfId="0" applyFont="1" applyBorder="1" applyAlignment="1" applyProtection="1">
      <alignment horizontal="left"/>
    </xf>
    <xf numFmtId="9" fontId="10" fillId="0" borderId="4" xfId="0" applyNumberFormat="1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7" fillId="0" borderId="36" xfId="0" applyFont="1" applyBorder="1"/>
    <xf numFmtId="0" fontId="0" fillId="0" borderId="36" xfId="0" applyBorder="1"/>
    <xf numFmtId="168" fontId="13" fillId="3" borderId="0" xfId="0" applyNumberFormat="1" applyFont="1" applyFill="1" applyAlignment="1" applyProtection="1">
      <alignment horizontal="center"/>
    </xf>
    <xf numFmtId="168" fontId="13" fillId="3" borderId="0" xfId="77" applyNumberFormat="1" applyFont="1" applyFill="1" applyBorder="1" applyAlignment="1" applyProtection="1">
      <alignment horizontal="center"/>
    </xf>
    <xf numFmtId="168" fontId="13" fillId="3" borderId="0" xfId="77" applyNumberFormat="1" applyFont="1" applyFill="1" applyAlignment="1" applyProtection="1">
      <alignment horizontal="center"/>
    </xf>
    <xf numFmtId="0" fontId="5" fillId="3" borderId="0" xfId="0" applyFont="1" applyFill="1" applyAlignment="1" applyProtection="1">
      <alignment horizontal="center"/>
    </xf>
    <xf numFmtId="168" fontId="13" fillId="3" borderId="0" xfId="0" applyNumberFormat="1" applyFont="1" applyFill="1" applyAlignment="1" applyProtection="1">
      <alignment horizontal="center"/>
    </xf>
    <xf numFmtId="7" fontId="13" fillId="3" borderId="0" xfId="1" applyNumberFormat="1" applyFont="1" applyFill="1" applyAlignment="1" applyProtection="1">
      <alignment horizontal="center"/>
    </xf>
    <xf numFmtId="168" fontId="13" fillId="3" borderId="0" xfId="0" applyNumberFormat="1" applyFont="1" applyFill="1" applyAlignment="1" applyProtection="1">
      <alignment horizontal="center"/>
    </xf>
    <xf numFmtId="168" fontId="13" fillId="3" borderId="0" xfId="0" applyNumberFormat="1" applyFont="1" applyFill="1" applyAlignment="1" applyProtection="1">
      <alignment horizontal="center"/>
    </xf>
    <xf numFmtId="168" fontId="13" fillId="3" borderId="0" xfId="0" applyNumberFormat="1" applyFont="1" applyFill="1" applyBorder="1" applyAlignment="1" applyProtection="1">
      <alignment horizontal="center"/>
    </xf>
    <xf numFmtId="168" fontId="13" fillId="3" borderId="0" xfId="0" applyNumberFormat="1" applyFont="1" applyFill="1" applyBorder="1" applyAlignment="1" applyProtection="1">
      <alignment horizontal="center"/>
    </xf>
    <xf numFmtId="0" fontId="2" fillId="3" borderId="0" xfId="0" applyFont="1" applyFill="1" applyAlignment="1" applyProtection="1">
      <alignment horizontal="center" vertical="center"/>
    </xf>
    <xf numFmtId="0" fontId="2" fillId="3" borderId="0" xfId="0" applyFont="1" applyFill="1" applyAlignment="1" applyProtection="1">
      <alignment horizontal="center" vertical="center"/>
    </xf>
    <xf numFmtId="0" fontId="7" fillId="0" borderId="35" xfId="0" applyFont="1" applyBorder="1"/>
    <xf numFmtId="0" fontId="7" fillId="0" borderId="2" xfId="0" applyFont="1" applyBorder="1"/>
    <xf numFmtId="14" fontId="0" fillId="0" borderId="28" xfId="0" applyNumberFormat="1" applyBorder="1"/>
    <xf numFmtId="14" fontId="0" fillId="0" borderId="6" xfId="0" applyNumberFormat="1" applyBorder="1"/>
    <xf numFmtId="0" fontId="7" fillId="0" borderId="24" xfId="0" applyFont="1" applyBorder="1"/>
    <xf numFmtId="0" fontId="0" fillId="0" borderId="24" xfId="0" applyBorder="1"/>
    <xf numFmtId="0" fontId="2" fillId="0" borderId="24" xfId="0" applyFont="1" applyBorder="1"/>
    <xf numFmtId="14" fontId="0" fillId="0" borderId="24" xfId="0" applyNumberFormat="1" applyFill="1" applyBorder="1"/>
    <xf numFmtId="0" fontId="2" fillId="0" borderId="4" xfId="0" applyFont="1" applyBorder="1"/>
    <xf numFmtId="0" fontId="13" fillId="0" borderId="0" xfId="0" applyFont="1" applyBorder="1" applyAlignment="1" applyProtection="1">
      <alignment horizontal="left" vertical="center" indent="2"/>
    </xf>
    <xf numFmtId="0" fontId="13" fillId="0" borderId="0" xfId="0" applyFont="1" applyAlignment="1" applyProtection="1">
      <alignment horizontal="right" vertical="center"/>
    </xf>
    <xf numFmtId="14" fontId="13" fillId="3" borderId="0" xfId="0" applyNumberFormat="1" applyFont="1" applyFill="1" applyBorder="1" applyAlignment="1" applyProtection="1">
      <alignment horizontal="left" vertical="center"/>
    </xf>
    <xf numFmtId="0" fontId="13" fillId="0" borderId="0" xfId="0" applyFont="1" applyFill="1" applyBorder="1" applyProtection="1"/>
    <xf numFmtId="0" fontId="36" fillId="0" borderId="0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0" fontId="39" fillId="0" borderId="0" xfId="0" applyFont="1" applyFill="1" applyBorder="1" applyProtection="1"/>
    <xf numFmtId="0" fontId="40" fillId="0" borderId="0" xfId="0" applyFont="1" applyFill="1" applyBorder="1" applyAlignment="1" applyProtection="1">
      <alignment horizontal="center"/>
    </xf>
    <xf numFmtId="0" fontId="32" fillId="0" borderId="0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Border="1" applyAlignment="1" applyProtection="1">
      <alignment horizontal="left"/>
    </xf>
    <xf numFmtId="0" fontId="28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/>
    </xf>
    <xf numFmtId="0" fontId="28" fillId="0" borderId="0" xfId="0" applyFont="1" applyFill="1" applyBorder="1" applyAlignment="1" applyProtection="1">
      <alignment horizontal="left"/>
    </xf>
    <xf numFmtId="0" fontId="9" fillId="9" borderId="0" xfId="0" applyFont="1" applyFill="1" applyAlignment="1" applyProtection="1">
      <alignment horizontal="center"/>
    </xf>
    <xf numFmtId="0" fontId="0" fillId="9" borderId="0" xfId="0" applyFill="1" applyProtection="1"/>
    <xf numFmtId="0" fontId="0" fillId="9" borderId="0" xfId="0" applyFill="1" applyAlignment="1" applyProtection="1">
      <alignment horizontal="center"/>
    </xf>
    <xf numFmtId="0" fontId="9" fillId="9" borderId="0" xfId="0" applyFont="1" applyFill="1" applyBorder="1" applyAlignment="1" applyProtection="1">
      <alignment horizontal="center"/>
    </xf>
    <xf numFmtId="0" fontId="0" fillId="9" borderId="0" xfId="0" applyFill="1" applyBorder="1" applyAlignment="1" applyProtection="1">
      <alignment horizontal="center"/>
    </xf>
    <xf numFmtId="0" fontId="14" fillId="9" borderId="0" xfId="0" applyFont="1" applyFill="1" applyAlignment="1" applyProtection="1">
      <alignment horizontal="left" indent="1"/>
    </xf>
    <xf numFmtId="0" fontId="2" fillId="0" borderId="8" xfId="0" applyFont="1" applyBorder="1"/>
    <xf numFmtId="0" fontId="2" fillId="0" borderId="3" xfId="0" applyFont="1" applyBorder="1"/>
    <xf numFmtId="0" fontId="8" fillId="0" borderId="0" xfId="0" applyFont="1" applyAlignment="1" applyProtection="1">
      <alignment vertical="center"/>
    </xf>
    <xf numFmtId="1" fontId="28" fillId="4" borderId="5" xfId="0" applyNumberFormat="1" applyFont="1" applyFill="1" applyBorder="1" applyAlignment="1" applyProtection="1">
      <alignment horizontal="center" vertical="center"/>
    </xf>
    <xf numFmtId="0" fontId="2" fillId="0" borderId="21" xfId="0" applyFont="1" applyBorder="1"/>
    <xf numFmtId="0" fontId="2" fillId="0" borderId="23" xfId="0" applyFont="1" applyBorder="1"/>
    <xf numFmtId="0" fontId="5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9" fontId="0" fillId="0" borderId="8" xfId="4" applyFont="1" applyBorder="1" applyAlignment="1">
      <alignment horizontal="center"/>
    </xf>
    <xf numFmtId="169" fontId="0" fillId="0" borderId="8" xfId="4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5" fontId="0" fillId="0" borderId="8" xfId="0" applyNumberFormat="1" applyBorder="1" applyAlignment="1">
      <alignment horizontal="center"/>
    </xf>
    <xf numFmtId="164" fontId="0" fillId="0" borderId="3" xfId="0" applyNumberFormat="1" applyFill="1" applyBorder="1" applyAlignment="1">
      <alignment horizontal="center"/>
    </xf>
    <xf numFmtId="0" fontId="5" fillId="9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169" fontId="0" fillId="0" borderId="8" xfId="4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20" xfId="0" applyFill="1" applyBorder="1" applyAlignment="1">
      <alignment horizontal="center"/>
    </xf>
    <xf numFmtId="169" fontId="0" fillId="0" borderId="20" xfId="4" applyNumberFormat="1" applyFont="1" applyFill="1" applyBorder="1" applyAlignment="1">
      <alignment horizontal="center"/>
    </xf>
    <xf numFmtId="9" fontId="0" fillId="0" borderId="20" xfId="4" applyFont="1" applyFill="1" applyBorder="1" applyAlignment="1">
      <alignment horizontal="center"/>
    </xf>
    <xf numFmtId="9" fontId="0" fillId="0" borderId="20" xfId="4" applyFont="1" applyBorder="1" applyAlignment="1">
      <alignment horizontal="center"/>
    </xf>
    <xf numFmtId="164" fontId="0" fillId="0" borderId="2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9" fontId="0" fillId="0" borderId="0" xfId="4" applyNumberFormat="1" applyFont="1" applyFill="1" applyBorder="1" applyAlignment="1">
      <alignment horizontal="center"/>
    </xf>
    <xf numFmtId="9" fontId="0" fillId="0" borderId="0" xfId="4" applyFont="1" applyFill="1" applyBorder="1" applyAlignment="1">
      <alignment horizontal="center"/>
    </xf>
    <xf numFmtId="9" fontId="0" fillId="0" borderId="0" xfId="4" applyFont="1" applyBorder="1" applyAlignment="1">
      <alignment horizontal="center"/>
    </xf>
    <xf numFmtId="164" fontId="0" fillId="0" borderId="10" xfId="0" applyNumberFormat="1" applyFill="1" applyBorder="1" applyAlignment="1">
      <alignment horizontal="center"/>
    </xf>
    <xf numFmtId="0" fontId="5" fillId="13" borderId="4" xfId="0" applyFont="1" applyFill="1" applyBorder="1"/>
    <xf numFmtId="0" fontId="2" fillId="0" borderId="4" xfId="0" applyFont="1" applyBorder="1" applyAlignment="1">
      <alignment horizontal="center"/>
    </xf>
    <xf numFmtId="0" fontId="2" fillId="0" borderId="4" xfId="0" quotePrefix="1" applyFon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" fontId="5" fillId="9" borderId="4" xfId="0" applyNumberFormat="1" applyFont="1" applyFill="1" applyBorder="1" applyAlignment="1">
      <alignment horizontal="center"/>
    </xf>
    <xf numFmtId="0" fontId="5" fillId="9" borderId="0" xfId="0" applyFont="1" applyFill="1"/>
    <xf numFmtId="0" fontId="0" fillId="9" borderId="0" xfId="0" applyFill="1"/>
    <xf numFmtId="0" fontId="0" fillId="0" borderId="2" xfId="0" applyBorder="1"/>
    <xf numFmtId="0" fontId="5" fillId="0" borderId="4" xfId="0" applyFont="1" applyBorder="1"/>
    <xf numFmtId="0" fontId="5" fillId="0" borderId="8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4" fontId="0" fillId="0" borderId="2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4" applyNumberFormat="1" applyFont="1" applyBorder="1" applyAlignment="1">
      <alignment horizontal="center"/>
    </xf>
    <xf numFmtId="164" fontId="0" fillId="0" borderId="20" xfId="0" applyNumberFormat="1" applyBorder="1" applyAlignment="1">
      <alignment horizontal="center"/>
    </xf>
    <xf numFmtId="164" fontId="0" fillId="0" borderId="20" xfId="4" applyNumberFormat="1" applyFont="1" applyBorder="1" applyAlignment="1">
      <alignment horizontal="center"/>
    </xf>
    <xf numFmtId="0" fontId="2" fillId="5" borderId="0" xfId="0" applyFont="1" applyFill="1" applyAlignment="1">
      <alignment horizontal="right"/>
    </xf>
    <xf numFmtId="9" fontId="5" fillId="0" borderId="0" xfId="0" applyNumberFormat="1" applyFont="1"/>
    <xf numFmtId="0" fontId="0" fillId="0" borderId="4" xfId="4" applyNumberFormat="1" applyFont="1" applyBorder="1" applyAlignment="1">
      <alignment horizontal="center"/>
    </xf>
    <xf numFmtId="0" fontId="0" fillId="0" borderId="43" xfId="0" applyBorder="1" applyAlignment="1">
      <alignment horizontal="center"/>
    </xf>
    <xf numFmtId="10" fontId="0" fillId="0" borderId="0" xfId="0" applyNumberFormat="1" applyBorder="1"/>
    <xf numFmtId="10" fontId="0" fillId="0" borderId="10" xfId="0" applyNumberFormat="1" applyBorder="1"/>
    <xf numFmtId="10" fontId="0" fillId="0" borderId="21" xfId="0" applyNumberFormat="1" applyBorder="1"/>
    <xf numFmtId="10" fontId="0" fillId="0" borderId="23" xfId="0" applyNumberFormat="1" applyBorder="1"/>
    <xf numFmtId="0" fontId="2" fillId="0" borderId="0" xfId="0" applyFont="1" applyFill="1" applyProtection="1"/>
    <xf numFmtId="0" fontId="2" fillId="11" borderId="59" xfId="0" applyFont="1" applyFill="1" applyBorder="1"/>
    <xf numFmtId="169" fontId="2" fillId="0" borderId="8" xfId="4" applyNumberFormat="1" applyFont="1" applyBorder="1" applyAlignment="1">
      <alignment horizontal="center"/>
    </xf>
    <xf numFmtId="0" fontId="2" fillId="0" borderId="0" xfId="4" applyNumberFormat="1" applyFont="1" applyFill="1" applyBorder="1" applyAlignment="1">
      <alignment horizontal="center"/>
    </xf>
    <xf numFmtId="0" fontId="0" fillId="0" borderId="8" xfId="4" applyNumberFormat="1" applyFont="1" applyFill="1" applyBorder="1" applyAlignment="1">
      <alignment horizontal="center"/>
    </xf>
    <xf numFmtId="0" fontId="0" fillId="0" borderId="0" xfId="4" applyNumberFormat="1" applyFont="1" applyFill="1" applyBorder="1" applyAlignment="1">
      <alignment horizontal="center"/>
    </xf>
    <xf numFmtId="0" fontId="5" fillId="9" borderId="28" xfId="0" applyFont="1" applyFill="1" applyBorder="1" applyAlignment="1">
      <alignment horizontal="left"/>
    </xf>
    <xf numFmtId="0" fontId="2" fillId="9" borderId="28" xfId="0" applyFont="1" applyFill="1" applyBorder="1" applyAlignment="1">
      <alignment horizontal="left"/>
    </xf>
    <xf numFmtId="0" fontId="7" fillId="9" borderId="28" xfId="0" applyFont="1" applyFill="1" applyBorder="1" applyAlignment="1">
      <alignment horizontal="left"/>
    </xf>
    <xf numFmtId="0" fontId="21" fillId="9" borderId="0" xfId="0" applyFont="1" applyFill="1" applyAlignment="1" applyProtection="1">
      <alignment horizontal="left"/>
    </xf>
    <xf numFmtId="0" fontId="43" fillId="9" borderId="0" xfId="0" applyFont="1" applyFill="1" applyAlignment="1" applyProtection="1">
      <alignment horizontal="center"/>
    </xf>
    <xf numFmtId="0" fontId="43" fillId="9" borderId="0" xfId="0" applyFont="1" applyFill="1" applyProtection="1"/>
    <xf numFmtId="0" fontId="21" fillId="9" borderId="0" xfId="0" applyFont="1" applyFill="1" applyProtection="1"/>
    <xf numFmtId="14" fontId="0" fillId="0" borderId="0" xfId="0" applyNumberFormat="1"/>
    <xf numFmtId="0" fontId="79" fillId="0" borderId="0" xfId="0" applyFont="1"/>
    <xf numFmtId="0" fontId="80" fillId="0" borderId="0" xfId="0" applyFont="1"/>
    <xf numFmtId="0" fontId="79" fillId="0" borderId="0" xfId="0" applyFont="1" applyAlignment="1">
      <alignment horizontal="right"/>
    </xf>
    <xf numFmtId="0" fontId="82" fillId="3" borderId="0" xfId="0" applyFont="1" applyFill="1" applyAlignment="1" applyProtection="1">
      <alignment horizontal="center"/>
    </xf>
    <xf numFmtId="0" fontId="53" fillId="0" borderId="0" xfId="0" applyFont="1" applyAlignment="1">
      <alignment horizontal="right"/>
    </xf>
    <xf numFmtId="0" fontId="80" fillId="0" borderId="0" xfId="0" applyFont="1" applyAlignment="1">
      <alignment horizontal="left" indent="1"/>
    </xf>
    <xf numFmtId="0" fontId="80" fillId="0" borderId="0" xfId="0" quotePrefix="1" applyFont="1"/>
    <xf numFmtId="0" fontId="80" fillId="0" borderId="0" xfId="0" applyFont="1" applyAlignment="1">
      <alignment horizontal="center"/>
    </xf>
    <xf numFmtId="0" fontId="53" fillId="9" borderId="4" xfId="0" applyFont="1" applyFill="1" applyBorder="1" applyAlignment="1">
      <alignment horizontal="center"/>
    </xf>
    <xf numFmtId="0" fontId="53" fillId="17" borderId="4" xfId="0" applyFont="1" applyFill="1" applyBorder="1" applyAlignment="1">
      <alignment horizontal="center"/>
    </xf>
    <xf numFmtId="0" fontId="80" fillId="17" borderId="4" xfId="0" applyFont="1" applyFill="1" applyBorder="1"/>
    <xf numFmtId="0" fontId="83" fillId="41" borderId="0" xfId="0" applyFont="1" applyFill="1" applyAlignment="1">
      <alignment horizontal="right"/>
    </xf>
    <xf numFmtId="0" fontId="80" fillId="0" borderId="0" xfId="0" applyFont="1" applyAlignment="1">
      <alignment horizontal="right"/>
    </xf>
    <xf numFmtId="0" fontId="84" fillId="0" borderId="0" xfId="0" applyFont="1"/>
    <xf numFmtId="0" fontId="84" fillId="0" borderId="0" xfId="0" quotePrefix="1" applyFont="1"/>
    <xf numFmtId="0" fontId="84" fillId="0" borderId="0" xfId="0" applyFont="1" applyAlignment="1">
      <alignment horizontal="left" indent="1"/>
    </xf>
    <xf numFmtId="3" fontId="49" fillId="0" borderId="0" xfId="0" applyNumberFormat="1" applyFont="1" applyFill="1" applyAlignment="1" applyProtection="1">
      <alignment horizontal="center" vertical="center"/>
    </xf>
    <xf numFmtId="0" fontId="2" fillId="0" borderId="10" xfId="0" applyFont="1" applyBorder="1"/>
    <xf numFmtId="0" fontId="0" fillId="0" borderId="10" xfId="0" applyFill="1" applyBorder="1"/>
    <xf numFmtId="0" fontId="2" fillId="0" borderId="0" xfId="0" applyFont="1" applyFill="1" applyBorder="1"/>
    <xf numFmtId="164" fontId="46" fillId="6" borderId="4" xfId="0" applyNumberFormat="1" applyFont="1" applyFill="1" applyBorder="1" applyAlignment="1" applyProtection="1">
      <alignment horizontal="center"/>
    </xf>
    <xf numFmtId="0" fontId="46" fillId="4" borderId="6" xfId="0" applyFont="1" applyFill="1" applyBorder="1" applyAlignment="1" applyProtection="1">
      <alignment horizontal="center"/>
    </xf>
    <xf numFmtId="0" fontId="46" fillId="4" borderId="7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4" xfId="0" applyFont="1" applyFill="1" applyBorder="1" applyAlignment="1" applyProtection="1">
      <alignment horizontal="center"/>
    </xf>
    <xf numFmtId="0" fontId="46" fillId="4" borderId="4" xfId="0" applyFont="1" applyFill="1" applyBorder="1" applyAlignment="1" applyProtection="1">
      <alignment horizontal="center"/>
    </xf>
    <xf numFmtId="0" fontId="10" fillId="18" borderId="48" xfId="0" applyFont="1" applyFill="1" applyBorder="1" applyAlignment="1" applyProtection="1">
      <alignment horizontal="center"/>
    </xf>
    <xf numFmtId="0" fontId="10" fillId="18" borderId="69" xfId="0" applyFont="1" applyFill="1" applyBorder="1" applyAlignment="1" applyProtection="1">
      <alignment horizontal="center"/>
    </xf>
    <xf numFmtId="0" fontId="46" fillId="4" borderId="49" xfId="0" applyFont="1" applyFill="1" applyBorder="1" applyAlignment="1" applyProtection="1">
      <alignment horizontal="center"/>
    </xf>
    <xf numFmtId="0" fontId="46" fillId="4" borderId="50" xfId="0" applyFont="1" applyFill="1" applyBorder="1" applyAlignment="1" applyProtection="1">
      <alignment horizontal="center"/>
    </xf>
    <xf numFmtId="164" fontId="10" fillId="3" borderId="6" xfId="0" applyNumberFormat="1" applyFont="1" applyFill="1" applyBorder="1" applyAlignment="1" applyProtection="1">
      <alignment horizontal="center"/>
    </xf>
    <xf numFmtId="164" fontId="10" fillId="3" borderId="7" xfId="0" applyNumberFormat="1" applyFont="1" applyFill="1" applyBorder="1" applyAlignment="1" applyProtection="1">
      <alignment horizontal="center"/>
    </xf>
    <xf numFmtId="2" fontId="34" fillId="0" borderId="0" xfId="0" applyNumberFormat="1" applyFont="1" applyFill="1" applyBorder="1" applyAlignment="1" applyProtection="1">
      <alignment horizontal="center" vertical="center"/>
    </xf>
    <xf numFmtId="2" fontId="34" fillId="0" borderId="14" xfId="0" applyNumberFormat="1" applyFont="1" applyFill="1" applyBorder="1" applyAlignment="1" applyProtection="1">
      <alignment horizontal="center" vertical="center"/>
    </xf>
    <xf numFmtId="0" fontId="51" fillId="0" borderId="51" xfId="0" applyFont="1" applyBorder="1" applyAlignment="1" applyProtection="1">
      <alignment horizontal="left" vertical="center" indent="2"/>
    </xf>
    <xf numFmtId="0" fontId="51" fillId="0" borderId="52" xfId="0" applyFont="1" applyBorder="1" applyAlignment="1" applyProtection="1">
      <alignment horizontal="left" vertical="center" indent="2"/>
    </xf>
    <xf numFmtId="0" fontId="51" fillId="0" borderId="53" xfId="0" applyFont="1" applyBorder="1" applyAlignment="1" applyProtection="1">
      <alignment horizontal="left" vertical="center" indent="2"/>
    </xf>
    <xf numFmtId="166" fontId="8" fillId="0" borderId="0" xfId="0" applyNumberFormat="1" applyFont="1" applyFill="1" applyAlignment="1" applyProtection="1">
      <alignment horizontal="left"/>
    </xf>
    <xf numFmtId="0" fontId="13" fillId="0" borderId="0" xfId="0" applyFont="1" applyFill="1" applyAlignment="1" applyProtection="1">
      <alignment horizontal="left"/>
    </xf>
    <xf numFmtId="0" fontId="28" fillId="4" borderId="11" xfId="0" applyFont="1" applyFill="1" applyBorder="1" applyAlignment="1" applyProtection="1">
      <alignment horizontal="center" vertical="center"/>
    </xf>
    <xf numFmtId="0" fontId="28" fillId="4" borderId="12" xfId="0" applyFont="1" applyFill="1" applyBorder="1" applyAlignment="1" applyProtection="1">
      <alignment horizontal="center" vertical="center"/>
    </xf>
    <xf numFmtId="0" fontId="28" fillId="4" borderId="13" xfId="0" applyFont="1" applyFill="1" applyBorder="1" applyAlignment="1" applyProtection="1">
      <alignment horizontal="center" vertical="center"/>
    </xf>
    <xf numFmtId="1" fontId="28" fillId="4" borderId="11" xfId="0" applyNumberFormat="1" applyFont="1" applyFill="1" applyBorder="1" applyAlignment="1" applyProtection="1">
      <alignment horizontal="center" vertical="center"/>
    </xf>
    <xf numFmtId="1" fontId="28" fillId="4" borderId="12" xfId="0" applyNumberFormat="1" applyFont="1" applyFill="1" applyBorder="1" applyAlignment="1" applyProtection="1">
      <alignment horizontal="center" vertical="center"/>
    </xf>
    <xf numFmtId="1" fontId="28" fillId="4" borderId="13" xfId="0" applyNumberFormat="1" applyFont="1" applyFill="1" applyBorder="1" applyAlignment="1" applyProtection="1">
      <alignment horizontal="center" vertical="center"/>
    </xf>
    <xf numFmtId="164" fontId="35" fillId="4" borderId="11" xfId="0" applyNumberFormat="1" applyFont="1" applyFill="1" applyBorder="1" applyAlignment="1" applyProtection="1">
      <alignment horizontal="center"/>
    </xf>
    <xf numFmtId="164" fontId="35" fillId="4" borderId="12" xfId="0" applyNumberFormat="1" applyFont="1" applyFill="1" applyBorder="1" applyAlignment="1" applyProtection="1">
      <alignment horizontal="center"/>
    </xf>
    <xf numFmtId="164" fontId="35" fillId="4" borderId="13" xfId="0" applyNumberFormat="1" applyFont="1" applyFill="1" applyBorder="1" applyAlignment="1" applyProtection="1">
      <alignment horizontal="center"/>
    </xf>
    <xf numFmtId="2" fontId="28" fillId="4" borderId="9" xfId="0" applyNumberFormat="1" applyFont="1" applyFill="1" applyBorder="1" applyAlignment="1" applyProtection="1">
      <alignment horizontal="center" vertical="center"/>
    </xf>
    <xf numFmtId="2" fontId="28" fillId="4" borderId="0" xfId="0" applyNumberFormat="1" applyFont="1" applyFill="1" applyBorder="1" applyAlignment="1" applyProtection="1">
      <alignment horizontal="center" vertical="center"/>
    </xf>
    <xf numFmtId="1" fontId="46" fillId="0" borderId="6" xfId="0" applyNumberFormat="1" applyFont="1" applyFill="1" applyBorder="1" applyAlignment="1" applyProtection="1">
      <alignment horizontal="center"/>
    </xf>
    <xf numFmtId="1" fontId="46" fillId="0" borderId="7" xfId="0" applyNumberFormat="1" applyFont="1" applyFill="1" applyBorder="1" applyAlignment="1" applyProtection="1">
      <alignment horizontal="center"/>
    </xf>
    <xf numFmtId="0" fontId="17" fillId="3" borderId="0" xfId="0" applyFont="1" applyFill="1" applyAlignment="1" applyProtection="1">
      <alignment horizontal="center"/>
    </xf>
    <xf numFmtId="0" fontId="9" fillId="3" borderId="0" xfId="0" applyFont="1" applyFill="1" applyAlignment="1" applyProtection="1">
      <alignment horizontal="center"/>
    </xf>
    <xf numFmtId="0" fontId="54" fillId="11" borderId="0" xfId="0" applyFont="1" applyFill="1" applyAlignment="1">
      <alignment horizontal="left"/>
    </xf>
    <xf numFmtId="0" fontId="7" fillId="18" borderId="35" xfId="0" applyFont="1" applyFill="1" applyBorder="1" applyAlignment="1">
      <alignment horizontal="center"/>
    </xf>
    <xf numFmtId="0" fontId="0" fillId="18" borderId="37" xfId="0" applyFill="1" applyBorder="1" applyAlignment="1">
      <alignment horizontal="center"/>
    </xf>
    <xf numFmtId="0" fontId="7" fillId="11" borderId="15" xfId="0" applyFont="1" applyFill="1" applyBorder="1" applyAlignment="1">
      <alignment horizontal="center"/>
    </xf>
    <xf numFmtId="0" fontId="7" fillId="11" borderId="16" xfId="0" applyFont="1" applyFill="1" applyBorder="1" applyAlignment="1">
      <alignment horizontal="center"/>
    </xf>
    <xf numFmtId="0" fontId="5" fillId="11" borderId="17" xfId="0" applyFont="1" applyFill="1" applyBorder="1" applyAlignment="1">
      <alignment horizontal="center"/>
    </xf>
    <xf numFmtId="0" fontId="5" fillId="11" borderId="19" xfId="0" applyFont="1" applyFill="1" applyBorder="1" applyAlignment="1">
      <alignment horizontal="center"/>
    </xf>
    <xf numFmtId="0" fontId="5" fillId="9" borderId="6" xfId="0" applyFont="1" applyFill="1" applyBorder="1" applyAlignment="1">
      <alignment horizontal="center"/>
    </xf>
    <xf numFmtId="0" fontId="5" fillId="9" borderId="24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2" fillId="11" borderId="15" xfId="0" applyFont="1" applyFill="1" applyBorder="1" applyAlignment="1">
      <alignment horizontal="center"/>
    </xf>
    <xf numFmtId="0" fontId="8" fillId="0" borderId="2" xfId="0" applyFont="1" applyBorder="1" applyAlignment="1">
      <alignment horizontal="center" vertical="center" textRotation="45"/>
    </xf>
    <xf numFmtId="0" fontId="8" fillId="0" borderId="8" xfId="0" applyFont="1" applyBorder="1" applyAlignment="1">
      <alignment horizontal="center" vertical="center" textRotation="45"/>
    </xf>
    <xf numFmtId="0" fontId="8" fillId="0" borderId="3" xfId="0" applyFont="1" applyBorder="1" applyAlignment="1">
      <alignment horizontal="center" vertical="center" textRotation="45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5" fillId="9" borderId="17" xfId="0" applyFont="1" applyFill="1" applyBorder="1" applyAlignment="1">
      <alignment horizontal="left"/>
    </xf>
    <xf numFmtId="0" fontId="5" fillId="9" borderId="18" xfId="0" applyFont="1" applyFill="1" applyBorder="1" applyAlignment="1">
      <alignment horizontal="left"/>
    </xf>
    <xf numFmtId="0" fontId="5" fillId="9" borderId="19" xfId="0" applyFont="1" applyFill="1" applyBorder="1" applyAlignment="1">
      <alignment horizontal="left"/>
    </xf>
    <xf numFmtId="0" fontId="0" fillId="2" borderId="2" xfId="0" applyFill="1" applyBorder="1" applyAlignment="1">
      <alignment horizontal="center" vertical="center" wrapText="1"/>
    </xf>
    <xf numFmtId="0" fontId="53" fillId="42" borderId="4" xfId="0" applyFont="1" applyFill="1" applyBorder="1" applyAlignment="1">
      <alignment horizontal="center"/>
    </xf>
    <xf numFmtId="0" fontId="9" fillId="42" borderId="6" xfId="0" applyFont="1" applyFill="1" applyBorder="1" applyAlignment="1" applyProtection="1">
      <alignment horizontal="center" vertical="center"/>
      <protection locked="0"/>
    </xf>
    <xf numFmtId="0" fontId="9" fillId="42" borderId="24" xfId="0" applyFont="1" applyFill="1" applyBorder="1" applyAlignment="1" applyProtection="1">
      <alignment horizontal="center" vertical="center"/>
      <protection locked="0"/>
    </xf>
    <xf numFmtId="0" fontId="9" fillId="42" borderId="7" xfId="0" applyFont="1" applyFill="1" applyBorder="1" applyAlignment="1" applyProtection="1">
      <alignment horizontal="center" vertical="center"/>
      <protection locked="0"/>
    </xf>
    <xf numFmtId="0" fontId="28" fillId="42" borderId="5" xfId="0" applyFont="1" applyFill="1" applyBorder="1" applyAlignment="1" applyProtection="1">
      <alignment horizontal="center" vertical="center"/>
      <protection locked="0"/>
    </xf>
    <xf numFmtId="0" fontId="28" fillId="42" borderId="11" xfId="0" applyFont="1" applyFill="1" applyBorder="1" applyAlignment="1" applyProtection="1">
      <alignment horizontal="center" vertical="center"/>
      <protection locked="0"/>
    </xf>
    <xf numFmtId="0" fontId="28" fillId="42" borderId="12" xfId="0" applyFont="1" applyFill="1" applyBorder="1" applyAlignment="1" applyProtection="1">
      <alignment horizontal="center" vertical="center"/>
      <protection locked="0"/>
    </xf>
    <xf numFmtId="0" fontId="28" fillId="42" borderId="13" xfId="0" applyFont="1" applyFill="1" applyBorder="1" applyAlignment="1" applyProtection="1">
      <alignment horizontal="center" vertical="center"/>
      <protection locked="0"/>
    </xf>
    <xf numFmtId="2" fontId="28" fillId="42" borderId="5" xfId="0" applyNumberFormat="1" applyFont="1" applyFill="1" applyBorder="1" applyAlignment="1" applyProtection="1">
      <alignment horizontal="center" vertical="center"/>
      <protection locked="0"/>
    </xf>
    <xf numFmtId="0" fontId="28" fillId="42" borderId="44" xfId="0" applyFont="1" applyFill="1" applyBorder="1" applyAlignment="1" applyProtection="1">
      <alignment horizontal="center" vertical="center"/>
      <protection locked="0"/>
    </xf>
    <xf numFmtId="0" fontId="28" fillId="42" borderId="45" xfId="0" applyFont="1" applyFill="1" applyBorder="1" applyAlignment="1" applyProtection="1">
      <alignment horizontal="center" vertical="center"/>
      <protection locked="0"/>
    </xf>
    <xf numFmtId="0" fontId="28" fillId="42" borderId="47" xfId="0" applyFont="1" applyFill="1" applyBorder="1" applyAlignment="1" applyProtection="1">
      <alignment horizontal="center" vertical="center"/>
      <protection locked="0"/>
    </xf>
    <xf numFmtId="0" fontId="2" fillId="0" borderId="20" xfId="0" applyFont="1" applyBorder="1"/>
    <xf numFmtId="0" fontId="2" fillId="0" borderId="22" xfId="0" applyFont="1" applyBorder="1"/>
    <xf numFmtId="0" fontId="2" fillId="0" borderId="2" xfId="0" applyFont="1" applyBorder="1"/>
    <xf numFmtId="0" fontId="85" fillId="0" borderId="4" xfId="0" applyFont="1" applyFill="1" applyBorder="1" applyAlignment="1" applyProtection="1">
      <alignment horizontal="center"/>
    </xf>
    <xf numFmtId="168" fontId="45" fillId="42" borderId="61" xfId="0" applyNumberFormat="1" applyFont="1" applyFill="1" applyBorder="1" applyAlignment="1" applyProtection="1">
      <alignment horizontal="center"/>
      <protection locked="0"/>
    </xf>
    <xf numFmtId="168" fontId="45" fillId="42" borderId="5" xfId="0" applyNumberFormat="1" applyFont="1" applyFill="1" applyBorder="1" applyAlignment="1" applyProtection="1">
      <alignment horizontal="center"/>
      <protection locked="0"/>
    </xf>
    <xf numFmtId="168" fontId="45" fillId="42" borderId="5" xfId="77" applyNumberFormat="1" applyFont="1" applyFill="1" applyBorder="1" applyAlignment="1" applyProtection="1">
      <alignment horizontal="center"/>
      <protection locked="0"/>
    </xf>
    <xf numFmtId="7" fontId="45" fillId="42" borderId="5" xfId="1" applyNumberFormat="1" applyFont="1" applyFill="1" applyBorder="1" applyAlignment="1" applyProtection="1">
      <alignment horizontal="center"/>
      <protection locked="0"/>
    </xf>
    <xf numFmtId="0" fontId="86" fillId="3" borderId="0" xfId="0" applyFont="1" applyFill="1" applyAlignment="1" applyProtection="1">
      <alignment horizontal="center" vertical="center"/>
    </xf>
  </cellXfs>
  <cellStyles count="1222"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00000000}"/>
    <cellStyle name="]_x000d__x000a_Zoomed=1_x000d__x000a_Row=0_x000d__x000a_Column=0_x000d__x000a_Height=0_x000d__x000a_Width=0_x000d__x000a_FontName=FoxFont_x000d__x000a_FontStyle=0_x000d__x000a_FontSize=9_x000d__x000a_PrtFontName=FoxPrin 2" xfId="18" xr:uid="{00000000-0005-0000-0000-000001000000}"/>
    <cellStyle name="]_x000d__x000a_Zoomed=1_x000d__x000a_Row=0_x000d__x000a_Column=0_x000d__x000a_Height=0_x000d__x000a_Width=0_x000d__x000a_FontName=FoxFont_x000d__x000a_FontStyle=0_x000d__x000a_FontSize=9_x000d__x000a_PrtFontName=FoxPrin 3" xfId="19" xr:uid="{00000000-0005-0000-0000-000002000000}"/>
    <cellStyle name="]_x000d__x000d_Zoomed=1_x000d__x000d_Row=0_x000d__x000d_Column=0_x000d__x000d_Height=0_x000d__x000d_Width=0_x000d__x000d_FontName=FoxFont_x000d__x000d_FontStyle=0_x000d__x000d_FontSize=9_x000d__x000d_PrtFontName=FoxPrin" xfId="31" xr:uid="{00000000-0005-0000-0000-000003000000}"/>
    <cellStyle name="]_x000d__x000d_Zoomed=1_x000d__x000d_Row=0_x000d__x000d_Column=0_x000d__x000d_Height=0_x000d__x000d_Width=0_x000d__x000d_FontName=FoxFont_x000d__x000d_FontStyle=0_x000d__x000d_FontSize=9_x000d__x000d_PrtFontName=FoxPrin 2" xfId="32" xr:uid="{00000000-0005-0000-0000-000004000000}"/>
    <cellStyle name="]_x000d__x000d_Zoomed=1_x000d__x000d_Row=0_x000d__x000d_Column=0_x000d__x000d_Height=0_x000d__x000d_Width=0_x000d__x000d_FontName=FoxFont_x000d__x000d_FontStyle=0_x000d__x000d_FontSize=9_x000d__x000d_PrtFontName=FoxPrin 3" xfId="33" xr:uid="{00000000-0005-0000-0000-000005000000}"/>
    <cellStyle name="20 % - Accent1 2" xfId="38" xr:uid="{00000000-0005-0000-0000-000006000000}"/>
    <cellStyle name="20 % - Accent2 2" xfId="39" xr:uid="{00000000-0005-0000-0000-000007000000}"/>
    <cellStyle name="20 % - Accent3 2" xfId="40" xr:uid="{00000000-0005-0000-0000-000008000000}"/>
    <cellStyle name="20 % - Accent4 2" xfId="41" xr:uid="{00000000-0005-0000-0000-000009000000}"/>
    <cellStyle name="20 % - Accent5 2" xfId="42" xr:uid="{00000000-0005-0000-0000-00000A000000}"/>
    <cellStyle name="20 % - Accent6 2" xfId="43" xr:uid="{00000000-0005-0000-0000-00000B000000}"/>
    <cellStyle name="40 % - Accent1 2" xfId="44" xr:uid="{00000000-0005-0000-0000-00000C000000}"/>
    <cellStyle name="40 % - Accent2 2" xfId="45" xr:uid="{00000000-0005-0000-0000-00000D000000}"/>
    <cellStyle name="40 % - Accent3 2" xfId="46" xr:uid="{00000000-0005-0000-0000-00000E000000}"/>
    <cellStyle name="40 % - Accent4 2" xfId="47" xr:uid="{00000000-0005-0000-0000-00000F000000}"/>
    <cellStyle name="40 % - Accent5 2" xfId="48" xr:uid="{00000000-0005-0000-0000-000010000000}"/>
    <cellStyle name="40 % - Accent6 2" xfId="49" xr:uid="{00000000-0005-0000-0000-000011000000}"/>
    <cellStyle name="60 % - Accent1 2" xfId="50" xr:uid="{00000000-0005-0000-0000-000012000000}"/>
    <cellStyle name="60 % - Accent2 2" xfId="51" xr:uid="{00000000-0005-0000-0000-000013000000}"/>
    <cellStyle name="60 % - Accent3 2" xfId="52" xr:uid="{00000000-0005-0000-0000-000014000000}"/>
    <cellStyle name="60 % - Accent4 2" xfId="53" xr:uid="{00000000-0005-0000-0000-000015000000}"/>
    <cellStyle name="60 % - Accent5 2" xfId="54" xr:uid="{00000000-0005-0000-0000-000016000000}"/>
    <cellStyle name="60 % - Accent6 2" xfId="55" xr:uid="{00000000-0005-0000-0000-000017000000}"/>
    <cellStyle name="Accent1 2" xfId="56" xr:uid="{00000000-0005-0000-0000-000018000000}"/>
    <cellStyle name="Accent2 2" xfId="57" xr:uid="{00000000-0005-0000-0000-000019000000}"/>
    <cellStyle name="Accent3 2" xfId="58" xr:uid="{00000000-0005-0000-0000-00001A000000}"/>
    <cellStyle name="Accent4 2" xfId="59" xr:uid="{00000000-0005-0000-0000-00001B000000}"/>
    <cellStyle name="Accent5 2" xfId="60" xr:uid="{00000000-0005-0000-0000-00001C000000}"/>
    <cellStyle name="Accent6 2" xfId="61" xr:uid="{00000000-0005-0000-0000-00001D000000}"/>
    <cellStyle name="Avertissement 2" xfId="62" xr:uid="{00000000-0005-0000-0000-00001E000000}"/>
    <cellStyle name="Buena" xfId="63" xr:uid="{00000000-0005-0000-0000-00001F000000}"/>
    <cellStyle name="Calcul 2" xfId="64" xr:uid="{00000000-0005-0000-0000-000020000000}"/>
    <cellStyle name="Celda de comprobación" xfId="65" xr:uid="{00000000-0005-0000-0000-000021000000}"/>
    <cellStyle name="Celda vinculada" xfId="66" xr:uid="{00000000-0005-0000-0000-000022000000}"/>
    <cellStyle name="Commentaire 2" xfId="67" xr:uid="{00000000-0005-0000-0000-000023000000}"/>
    <cellStyle name="Commentaire 2 2" xfId="211" xr:uid="{00000000-0005-0000-0000-000024000000}"/>
    <cellStyle name="Encabezado 4" xfId="68" xr:uid="{00000000-0005-0000-0000-000025000000}"/>
    <cellStyle name="Entrada" xfId="69" xr:uid="{00000000-0005-0000-0000-000026000000}"/>
    <cellStyle name="Euro" xfId="1" xr:uid="{00000000-0005-0000-0000-000027000000}"/>
    <cellStyle name="Euro 2" xfId="6" xr:uid="{00000000-0005-0000-0000-000028000000}"/>
    <cellStyle name="Euro 2 2" xfId="20" xr:uid="{00000000-0005-0000-0000-000029000000}"/>
    <cellStyle name="Euro 2 2 2" xfId="71" xr:uid="{00000000-0005-0000-0000-00002A000000}"/>
    <cellStyle name="Euro 2 3" xfId="72" xr:uid="{00000000-0005-0000-0000-00002B000000}"/>
    <cellStyle name="Euro 2 4" xfId="70" xr:uid="{00000000-0005-0000-0000-00002C000000}"/>
    <cellStyle name="Euro 2 5" xfId="12" xr:uid="{00000000-0005-0000-0000-00002D000000}"/>
    <cellStyle name="Euro 3" xfId="13" xr:uid="{00000000-0005-0000-0000-00002E000000}"/>
    <cellStyle name="Euro 3 2" xfId="73" xr:uid="{00000000-0005-0000-0000-00002F000000}"/>
    <cellStyle name="Euro 4" xfId="1102" xr:uid="{00000000-0005-0000-0000-000030000000}"/>
    <cellStyle name="Incorrecto" xfId="74" xr:uid="{00000000-0005-0000-0000-000031000000}"/>
    <cellStyle name="Lien hypertexte" xfId="2" builtinId="8"/>
    <cellStyle name="Lien hypertexte 2" xfId="360" xr:uid="{00000000-0005-0000-0000-000033000000}"/>
    <cellStyle name="Milliers 2" xfId="135" xr:uid="{00000000-0005-0000-0000-000034000000}"/>
    <cellStyle name="Milliers 2 2" xfId="368" xr:uid="{00000000-0005-0000-0000-000035000000}"/>
    <cellStyle name="Milliers 3" xfId="132" xr:uid="{00000000-0005-0000-0000-000036000000}"/>
    <cellStyle name="Milliers 4" xfId="369" xr:uid="{00000000-0005-0000-0000-000037000000}"/>
    <cellStyle name="Milliers 4 2" xfId="1121" xr:uid="{00000000-0005-0000-0000-000038000000}"/>
    <cellStyle name="Milliers 5" xfId="16" xr:uid="{00000000-0005-0000-0000-000039000000}"/>
    <cellStyle name="Monétaire 2" xfId="75" xr:uid="{00000000-0005-0000-0000-00003A000000}"/>
    <cellStyle name="Monétaire 2 2" xfId="367" xr:uid="{00000000-0005-0000-0000-00003B000000}"/>
    <cellStyle name="Monétaire 2 2 2" xfId="370" xr:uid="{00000000-0005-0000-0000-00003C000000}"/>
    <cellStyle name="Monétaire 2 2 3" xfId="1103" xr:uid="{00000000-0005-0000-0000-00003D000000}"/>
    <cellStyle name="Monétaire 2 2 4" xfId="1125" xr:uid="{00000000-0005-0000-0000-00003E000000}"/>
    <cellStyle name="Monétaire 2 2 5" xfId="733" xr:uid="{00000000-0005-0000-0000-00003F000000}"/>
    <cellStyle name="Monétaire 3" xfId="364" xr:uid="{00000000-0005-0000-0000-000040000000}"/>
    <cellStyle name="Monétaire 3 2" xfId="1119" xr:uid="{00000000-0005-0000-0000-000041000000}"/>
    <cellStyle name="Monétaire 4" xfId="361" xr:uid="{00000000-0005-0000-0000-000042000000}"/>
    <cellStyle name="Monétaire 4 2" xfId="1123" xr:uid="{00000000-0005-0000-0000-000043000000}"/>
    <cellStyle name="Monétaire 4 3" xfId="730" xr:uid="{00000000-0005-0000-0000-000044000000}"/>
    <cellStyle name="Monétaire 5" xfId="371" xr:uid="{00000000-0005-0000-0000-000045000000}"/>
    <cellStyle name="Neutral" xfId="76" xr:uid="{00000000-0005-0000-0000-000046000000}"/>
    <cellStyle name="Normal" xfId="0" builtinId="0"/>
    <cellStyle name="Normal 10" xfId="77" xr:uid="{00000000-0005-0000-0000-000048000000}"/>
    <cellStyle name="Normal 11" xfId="37" xr:uid="{00000000-0005-0000-0000-000049000000}"/>
    <cellStyle name="Normal 11 2" xfId="175" xr:uid="{00000000-0005-0000-0000-00004A000000}"/>
    <cellStyle name="Normal 11 2 2" xfId="312" xr:uid="{00000000-0005-0000-0000-00004B000000}"/>
    <cellStyle name="Normal 11 2 2 2" xfId="1042" xr:uid="{00000000-0005-0000-0000-00004C000000}"/>
    <cellStyle name="Normal 11 2 2 3" xfId="682" xr:uid="{00000000-0005-0000-0000-00004D000000}"/>
    <cellStyle name="Normal 11 2 3" xfId="372" xr:uid="{00000000-0005-0000-0000-00004E000000}"/>
    <cellStyle name="Normal 11 2 3 2" xfId="1133" xr:uid="{00000000-0005-0000-0000-00004F000000}"/>
    <cellStyle name="Normal 11 2 3 3" xfId="734" xr:uid="{00000000-0005-0000-0000-000050000000}"/>
    <cellStyle name="Normal 11 2 4" xfId="911" xr:uid="{00000000-0005-0000-0000-000051000000}"/>
    <cellStyle name="Normal 11 2 5" xfId="551" xr:uid="{00000000-0005-0000-0000-000052000000}"/>
    <cellStyle name="Normal 11 3" xfId="238" xr:uid="{00000000-0005-0000-0000-000053000000}"/>
    <cellStyle name="Normal 11 3 2" xfId="968" xr:uid="{00000000-0005-0000-0000-000054000000}"/>
    <cellStyle name="Normal 11 3 3" xfId="608" xr:uid="{00000000-0005-0000-0000-000055000000}"/>
    <cellStyle name="Normal 11 4" xfId="373" xr:uid="{00000000-0005-0000-0000-000056000000}"/>
    <cellStyle name="Normal 11 4 2" xfId="1134" xr:uid="{00000000-0005-0000-0000-000057000000}"/>
    <cellStyle name="Normal 11 4 3" xfId="735" xr:uid="{00000000-0005-0000-0000-000058000000}"/>
    <cellStyle name="Normal 11 5" xfId="837" xr:uid="{00000000-0005-0000-0000-000059000000}"/>
    <cellStyle name="Normal 11 6" xfId="477" xr:uid="{00000000-0005-0000-0000-00005A000000}"/>
    <cellStyle name="Normal 11 7" xfId="1206" xr:uid="{00000000-0005-0000-0000-00005B000000}"/>
    <cellStyle name="Normal 12" xfId="111" xr:uid="{00000000-0005-0000-0000-00005C000000}"/>
    <cellStyle name="Normal 12 2" xfId="193" xr:uid="{00000000-0005-0000-0000-00005D000000}"/>
    <cellStyle name="Normal 12 2 2" xfId="327" xr:uid="{00000000-0005-0000-0000-00005E000000}"/>
    <cellStyle name="Normal 12 2 2 2" xfId="1057" xr:uid="{00000000-0005-0000-0000-00005F000000}"/>
    <cellStyle name="Normal 12 2 2 3" xfId="697" xr:uid="{00000000-0005-0000-0000-000060000000}"/>
    <cellStyle name="Normal 12 2 3" xfId="374" xr:uid="{00000000-0005-0000-0000-000061000000}"/>
    <cellStyle name="Normal 12 2 3 2" xfId="1137" xr:uid="{00000000-0005-0000-0000-000062000000}"/>
    <cellStyle name="Normal 12 2 3 3" xfId="736" xr:uid="{00000000-0005-0000-0000-000063000000}"/>
    <cellStyle name="Normal 12 2 4" xfId="926" xr:uid="{00000000-0005-0000-0000-000064000000}"/>
    <cellStyle name="Normal 12 2 5" xfId="566" xr:uid="{00000000-0005-0000-0000-000065000000}"/>
    <cellStyle name="Normal 12 3" xfId="253" xr:uid="{00000000-0005-0000-0000-000066000000}"/>
    <cellStyle name="Normal 12 3 2" xfId="983" xr:uid="{00000000-0005-0000-0000-000067000000}"/>
    <cellStyle name="Normal 12 3 3" xfId="623" xr:uid="{00000000-0005-0000-0000-000068000000}"/>
    <cellStyle name="Normal 12 4" xfId="375" xr:uid="{00000000-0005-0000-0000-000069000000}"/>
    <cellStyle name="Normal 12 4 2" xfId="1135" xr:uid="{00000000-0005-0000-0000-00006A000000}"/>
    <cellStyle name="Normal 12 4 3" xfId="737" xr:uid="{00000000-0005-0000-0000-00006B000000}"/>
    <cellStyle name="Normal 12 5" xfId="852" xr:uid="{00000000-0005-0000-0000-00006C000000}"/>
    <cellStyle name="Normal 12 6" xfId="492" xr:uid="{00000000-0005-0000-0000-00006D000000}"/>
    <cellStyle name="Normal 13" xfId="126" xr:uid="{00000000-0005-0000-0000-00006E000000}"/>
    <cellStyle name="Normal 13 2" xfId="208" xr:uid="{00000000-0005-0000-0000-00006F000000}"/>
    <cellStyle name="Normal 13 2 2" xfId="342" xr:uid="{00000000-0005-0000-0000-000070000000}"/>
    <cellStyle name="Normal 13 2 2 2" xfId="1072" xr:uid="{00000000-0005-0000-0000-000071000000}"/>
    <cellStyle name="Normal 13 2 2 3" xfId="712" xr:uid="{00000000-0005-0000-0000-000072000000}"/>
    <cellStyle name="Normal 13 2 3" xfId="376" xr:uid="{00000000-0005-0000-0000-000073000000}"/>
    <cellStyle name="Normal 13 2 3 2" xfId="1136" xr:uid="{00000000-0005-0000-0000-000074000000}"/>
    <cellStyle name="Normal 13 2 3 3" xfId="738" xr:uid="{00000000-0005-0000-0000-000075000000}"/>
    <cellStyle name="Normal 13 2 4" xfId="941" xr:uid="{00000000-0005-0000-0000-000076000000}"/>
    <cellStyle name="Normal 13 2 5" xfId="581" xr:uid="{00000000-0005-0000-0000-000077000000}"/>
    <cellStyle name="Normal 13 3" xfId="268" xr:uid="{00000000-0005-0000-0000-000078000000}"/>
    <cellStyle name="Normal 13 3 2" xfId="998" xr:uid="{00000000-0005-0000-0000-000079000000}"/>
    <cellStyle name="Normal 13 3 3" xfId="638" xr:uid="{00000000-0005-0000-0000-00007A000000}"/>
    <cellStyle name="Normal 13 4" xfId="377" xr:uid="{00000000-0005-0000-0000-00007B000000}"/>
    <cellStyle name="Normal 13 4 2" xfId="1131" xr:uid="{00000000-0005-0000-0000-00007C000000}"/>
    <cellStyle name="Normal 13 4 3" xfId="739" xr:uid="{00000000-0005-0000-0000-00007D000000}"/>
    <cellStyle name="Normal 13 5" xfId="867" xr:uid="{00000000-0005-0000-0000-00007E000000}"/>
    <cellStyle name="Normal 13 6" xfId="507" xr:uid="{00000000-0005-0000-0000-00007F000000}"/>
    <cellStyle name="Normal 14" xfId="212" xr:uid="{00000000-0005-0000-0000-000080000000}"/>
    <cellStyle name="Normal 14 2" xfId="343" xr:uid="{00000000-0005-0000-0000-000081000000}"/>
    <cellStyle name="Normal 14 2 2" xfId="1073" xr:uid="{00000000-0005-0000-0000-000082000000}"/>
    <cellStyle name="Normal 14 2 3" xfId="713" xr:uid="{00000000-0005-0000-0000-000083000000}"/>
    <cellStyle name="Normal 14 3" xfId="942" xr:uid="{00000000-0005-0000-0000-000084000000}"/>
    <cellStyle name="Normal 14 4" xfId="582" xr:uid="{00000000-0005-0000-0000-000085000000}"/>
    <cellStyle name="Normal 15" xfId="358" xr:uid="{00000000-0005-0000-0000-000086000000}"/>
    <cellStyle name="Normal 15 2" xfId="1118" xr:uid="{00000000-0005-0000-0000-000087000000}"/>
    <cellStyle name="Normal 15 3" xfId="728" xr:uid="{00000000-0005-0000-0000-000088000000}"/>
    <cellStyle name="Normal 16" xfId="1205" xr:uid="{00000000-0005-0000-0000-000089000000}"/>
    <cellStyle name="Normal 18" xfId="1207" xr:uid="{00000000-0005-0000-0000-00008A000000}"/>
    <cellStyle name="Normal 2" xfId="3" xr:uid="{00000000-0005-0000-0000-00008B000000}"/>
    <cellStyle name="Normal 2 10" xfId="1104" xr:uid="{00000000-0005-0000-0000-00008C000000}"/>
    <cellStyle name="Normal 2 11" xfId="826" xr:uid="{00000000-0005-0000-0000-00008D000000}"/>
    <cellStyle name="Normal 2 12" xfId="466" xr:uid="{00000000-0005-0000-0000-00008E000000}"/>
    <cellStyle name="Normal 2 13" xfId="14" xr:uid="{00000000-0005-0000-0000-00008F000000}"/>
    <cellStyle name="Normal 2 2" xfId="5" xr:uid="{00000000-0005-0000-0000-000090000000}"/>
    <cellStyle name="Normal 2 2 10" xfId="827" xr:uid="{00000000-0005-0000-0000-000091000000}"/>
    <cellStyle name="Normal 2 2 11" xfId="467" xr:uid="{00000000-0005-0000-0000-000092000000}"/>
    <cellStyle name="Normal 2 2 12" xfId="15" xr:uid="{00000000-0005-0000-0000-000093000000}"/>
    <cellStyle name="Normal 2 2 2" xfId="22" xr:uid="{00000000-0005-0000-0000-000094000000}"/>
    <cellStyle name="Normal 2 2 3" xfId="134" xr:uid="{00000000-0005-0000-0000-000095000000}"/>
    <cellStyle name="Normal 2 2 3 2" xfId="272" xr:uid="{00000000-0005-0000-0000-000096000000}"/>
    <cellStyle name="Normal 2 2 3 2 2" xfId="1002" xr:uid="{00000000-0005-0000-0000-000097000000}"/>
    <cellStyle name="Normal 2 2 3 2 3" xfId="642" xr:uid="{00000000-0005-0000-0000-000098000000}"/>
    <cellStyle name="Normal 2 2 3 3" xfId="378" xr:uid="{00000000-0005-0000-0000-000099000000}"/>
    <cellStyle name="Normal 2 2 3 3 2" xfId="1100" xr:uid="{00000000-0005-0000-0000-00009A000000}"/>
    <cellStyle name="Normal 2 2 3 3 3" xfId="740" xr:uid="{00000000-0005-0000-0000-00009B000000}"/>
    <cellStyle name="Normal 2 2 3 4" xfId="1116" xr:uid="{00000000-0005-0000-0000-00009C000000}"/>
    <cellStyle name="Normal 2 2 3 5" xfId="871" xr:uid="{00000000-0005-0000-0000-00009D000000}"/>
    <cellStyle name="Normal 2 2 3 6" xfId="511" xr:uid="{00000000-0005-0000-0000-00009E000000}"/>
    <cellStyle name="Normal 2 2 4" xfId="149" xr:uid="{00000000-0005-0000-0000-00009F000000}"/>
    <cellStyle name="Normal 2 2 4 2" xfId="286" xr:uid="{00000000-0005-0000-0000-0000A0000000}"/>
    <cellStyle name="Normal 2 2 4 2 2" xfId="1016" xr:uid="{00000000-0005-0000-0000-0000A1000000}"/>
    <cellStyle name="Normal 2 2 4 2 3" xfId="656" xr:uid="{00000000-0005-0000-0000-0000A2000000}"/>
    <cellStyle name="Normal 2 2 4 3" xfId="379" xr:uid="{00000000-0005-0000-0000-0000A3000000}"/>
    <cellStyle name="Normal 2 2 4 3 2" xfId="1132" xr:uid="{00000000-0005-0000-0000-0000A4000000}"/>
    <cellStyle name="Normal 2 2 4 3 3" xfId="741" xr:uid="{00000000-0005-0000-0000-0000A5000000}"/>
    <cellStyle name="Normal 2 2 4 4" xfId="885" xr:uid="{00000000-0005-0000-0000-0000A6000000}"/>
    <cellStyle name="Normal 2 2 4 5" xfId="525" xr:uid="{00000000-0005-0000-0000-0000A7000000}"/>
    <cellStyle name="Normal 2 2 5" xfId="165" xr:uid="{00000000-0005-0000-0000-0000A8000000}"/>
    <cellStyle name="Normal 2 2 5 2" xfId="302" xr:uid="{00000000-0005-0000-0000-0000A9000000}"/>
    <cellStyle name="Normal 2 2 5 2 2" xfId="1032" xr:uid="{00000000-0005-0000-0000-0000AA000000}"/>
    <cellStyle name="Normal 2 2 5 2 3" xfId="672" xr:uid="{00000000-0005-0000-0000-0000AB000000}"/>
    <cellStyle name="Normal 2 2 5 3" xfId="901" xr:uid="{00000000-0005-0000-0000-0000AC000000}"/>
    <cellStyle name="Normal 2 2 5 4" xfId="541" xr:uid="{00000000-0005-0000-0000-0000AD000000}"/>
    <cellStyle name="Normal 2 2 6" xfId="131" xr:uid="{00000000-0005-0000-0000-0000AE000000}"/>
    <cellStyle name="Normal 2 2 6 2" xfId="270" xr:uid="{00000000-0005-0000-0000-0000AF000000}"/>
    <cellStyle name="Normal 2 2 6 2 2" xfId="1000" xr:uid="{00000000-0005-0000-0000-0000B0000000}"/>
    <cellStyle name="Normal 2 2 6 2 3" xfId="640" xr:uid="{00000000-0005-0000-0000-0000B1000000}"/>
    <cellStyle name="Normal 2 2 6 3" xfId="869" xr:uid="{00000000-0005-0000-0000-0000B2000000}"/>
    <cellStyle name="Normal 2 2 6 4" xfId="509" xr:uid="{00000000-0005-0000-0000-0000B3000000}"/>
    <cellStyle name="Normal 2 2 7" xfId="228" xr:uid="{00000000-0005-0000-0000-0000B4000000}"/>
    <cellStyle name="Normal 2 2 7 2" xfId="958" xr:uid="{00000000-0005-0000-0000-0000B5000000}"/>
    <cellStyle name="Normal 2 2 7 3" xfId="598" xr:uid="{00000000-0005-0000-0000-0000B6000000}"/>
    <cellStyle name="Normal 2 2 8" xfId="380" xr:uid="{00000000-0005-0000-0000-0000B7000000}"/>
    <cellStyle name="Normal 2 2 8 2" xfId="1089" xr:uid="{00000000-0005-0000-0000-0000B8000000}"/>
    <cellStyle name="Normal 2 2 8 3" xfId="742" xr:uid="{00000000-0005-0000-0000-0000B9000000}"/>
    <cellStyle name="Normal 2 2 9" xfId="1105" xr:uid="{00000000-0005-0000-0000-0000BA000000}"/>
    <cellStyle name="Normal 2 3" xfId="21" xr:uid="{00000000-0005-0000-0000-0000BB000000}"/>
    <cellStyle name="Normal 2 3 2" xfId="78" xr:uid="{00000000-0005-0000-0000-0000BC000000}"/>
    <cellStyle name="Normal 2 3 2 2" xfId="176" xr:uid="{00000000-0005-0000-0000-0000BD000000}"/>
    <cellStyle name="Normal 2 3 2 2 2" xfId="313" xr:uid="{00000000-0005-0000-0000-0000BE000000}"/>
    <cellStyle name="Normal 2 3 2 2 2 2" xfId="1043" xr:uid="{00000000-0005-0000-0000-0000BF000000}"/>
    <cellStyle name="Normal 2 3 2 2 2 3" xfId="683" xr:uid="{00000000-0005-0000-0000-0000C0000000}"/>
    <cellStyle name="Normal 2 3 2 2 3" xfId="381" xr:uid="{00000000-0005-0000-0000-0000C1000000}"/>
    <cellStyle name="Normal 2 3 2 2 3 2" xfId="1127" xr:uid="{00000000-0005-0000-0000-0000C2000000}"/>
    <cellStyle name="Normal 2 3 2 2 3 3" xfId="743" xr:uid="{00000000-0005-0000-0000-0000C3000000}"/>
    <cellStyle name="Normal 2 3 2 2 4" xfId="912" xr:uid="{00000000-0005-0000-0000-0000C4000000}"/>
    <cellStyle name="Normal 2 3 2 2 5" xfId="552" xr:uid="{00000000-0005-0000-0000-0000C5000000}"/>
    <cellStyle name="Normal 2 3 2 3" xfId="239" xr:uid="{00000000-0005-0000-0000-0000C6000000}"/>
    <cellStyle name="Normal 2 3 2 3 2" xfId="969" xr:uid="{00000000-0005-0000-0000-0000C7000000}"/>
    <cellStyle name="Normal 2 3 2 3 3" xfId="609" xr:uid="{00000000-0005-0000-0000-0000C8000000}"/>
    <cellStyle name="Normal 2 3 2 4" xfId="382" xr:uid="{00000000-0005-0000-0000-0000C9000000}"/>
    <cellStyle name="Normal 2 3 2 4 2" xfId="1126" xr:uid="{00000000-0005-0000-0000-0000CA000000}"/>
    <cellStyle name="Normal 2 3 2 4 3" xfId="744" xr:uid="{00000000-0005-0000-0000-0000CB000000}"/>
    <cellStyle name="Normal 2 3 2 5" xfId="838" xr:uid="{00000000-0005-0000-0000-0000CC000000}"/>
    <cellStyle name="Normal 2 3 2 6" xfId="478" xr:uid="{00000000-0005-0000-0000-0000CD000000}"/>
    <cellStyle name="Normal 2 3 3" xfId="112" xr:uid="{00000000-0005-0000-0000-0000CE000000}"/>
    <cellStyle name="Normal 2 3 3 2" xfId="194" xr:uid="{00000000-0005-0000-0000-0000CF000000}"/>
    <cellStyle name="Normal 2 3 3 2 2" xfId="328" xr:uid="{00000000-0005-0000-0000-0000D0000000}"/>
    <cellStyle name="Normal 2 3 3 2 2 2" xfId="1058" xr:uid="{00000000-0005-0000-0000-0000D1000000}"/>
    <cellStyle name="Normal 2 3 3 2 2 3" xfId="698" xr:uid="{00000000-0005-0000-0000-0000D2000000}"/>
    <cellStyle name="Normal 2 3 3 2 3" xfId="383" xr:uid="{00000000-0005-0000-0000-0000D3000000}"/>
    <cellStyle name="Normal 2 3 3 2 3 2" xfId="1124" xr:uid="{00000000-0005-0000-0000-0000D4000000}"/>
    <cellStyle name="Normal 2 3 3 2 3 3" xfId="745" xr:uid="{00000000-0005-0000-0000-0000D5000000}"/>
    <cellStyle name="Normal 2 3 3 2 4" xfId="927" xr:uid="{00000000-0005-0000-0000-0000D6000000}"/>
    <cellStyle name="Normal 2 3 3 2 5" xfId="567" xr:uid="{00000000-0005-0000-0000-0000D7000000}"/>
    <cellStyle name="Normal 2 3 3 3" xfId="254" xr:uid="{00000000-0005-0000-0000-0000D8000000}"/>
    <cellStyle name="Normal 2 3 3 3 2" xfId="384" xr:uid="{00000000-0005-0000-0000-0000D9000000}"/>
    <cellStyle name="Normal 2 3 3 3 3" xfId="984" xr:uid="{00000000-0005-0000-0000-0000DA000000}"/>
    <cellStyle name="Normal 2 3 3 3 4" xfId="624" xr:uid="{00000000-0005-0000-0000-0000DB000000}"/>
    <cellStyle name="Normal 2 3 3 4" xfId="385" xr:uid="{00000000-0005-0000-0000-0000DC000000}"/>
    <cellStyle name="Normal 2 3 3 5" xfId="853" xr:uid="{00000000-0005-0000-0000-0000DD000000}"/>
    <cellStyle name="Normal 2 3 3 6" xfId="493" xr:uid="{00000000-0005-0000-0000-0000DE000000}"/>
    <cellStyle name="Normal 2 3 4" xfId="213" xr:uid="{00000000-0005-0000-0000-0000DF000000}"/>
    <cellStyle name="Normal 2 3 4 2" xfId="344" xr:uid="{00000000-0005-0000-0000-0000E0000000}"/>
    <cellStyle name="Normal 2 3 4 2 2" xfId="1074" xr:uid="{00000000-0005-0000-0000-0000E1000000}"/>
    <cellStyle name="Normal 2 3 4 2 3" xfId="714" xr:uid="{00000000-0005-0000-0000-0000E2000000}"/>
    <cellStyle name="Normal 2 3 4 3" xfId="943" xr:uid="{00000000-0005-0000-0000-0000E3000000}"/>
    <cellStyle name="Normal 2 3 4 4" xfId="583" xr:uid="{00000000-0005-0000-0000-0000E4000000}"/>
    <cellStyle name="Normal 2 3 5" xfId="1208" xr:uid="{00000000-0005-0000-0000-0000E5000000}"/>
    <cellStyle name="Normal 2 4" xfId="127" xr:uid="{00000000-0005-0000-0000-0000E6000000}"/>
    <cellStyle name="Normal 2 4 2" xfId="209" xr:uid="{00000000-0005-0000-0000-0000E7000000}"/>
    <cellStyle name="Normal 2 4 3" xfId="133" xr:uid="{00000000-0005-0000-0000-0000E8000000}"/>
    <cellStyle name="Normal 2 4 3 2" xfId="271" xr:uid="{00000000-0005-0000-0000-0000E9000000}"/>
    <cellStyle name="Normal 2 4 3 2 2" xfId="1001" xr:uid="{00000000-0005-0000-0000-0000EA000000}"/>
    <cellStyle name="Normal 2 4 3 2 3" xfId="641" xr:uid="{00000000-0005-0000-0000-0000EB000000}"/>
    <cellStyle name="Normal 2 4 3 3" xfId="870" xr:uid="{00000000-0005-0000-0000-0000EC000000}"/>
    <cellStyle name="Normal 2 4 3 4" xfId="510" xr:uid="{00000000-0005-0000-0000-0000ED000000}"/>
    <cellStyle name="Normal 2 4 4" xfId="1099" xr:uid="{00000000-0005-0000-0000-0000EE000000}"/>
    <cellStyle name="Normal 2 4 5" xfId="1115" xr:uid="{00000000-0005-0000-0000-0000EF000000}"/>
    <cellStyle name="Normal 2 5" xfId="150" xr:uid="{00000000-0005-0000-0000-0000F0000000}"/>
    <cellStyle name="Normal 2 5 2" xfId="287" xr:uid="{00000000-0005-0000-0000-0000F1000000}"/>
    <cellStyle name="Normal 2 5 2 2" xfId="1017" xr:uid="{00000000-0005-0000-0000-0000F2000000}"/>
    <cellStyle name="Normal 2 5 2 3" xfId="657" xr:uid="{00000000-0005-0000-0000-0000F3000000}"/>
    <cellStyle name="Normal 2 5 3" xfId="386" xr:uid="{00000000-0005-0000-0000-0000F4000000}"/>
    <cellStyle name="Normal 2 5 3 2" xfId="1128" xr:uid="{00000000-0005-0000-0000-0000F5000000}"/>
    <cellStyle name="Normal 2 5 3 3" xfId="746" xr:uid="{00000000-0005-0000-0000-0000F6000000}"/>
    <cellStyle name="Normal 2 5 4" xfId="886" xr:uid="{00000000-0005-0000-0000-0000F7000000}"/>
    <cellStyle name="Normal 2 5 5" xfId="526" xr:uid="{00000000-0005-0000-0000-0000F8000000}"/>
    <cellStyle name="Normal 2 6" xfId="164" xr:uid="{00000000-0005-0000-0000-0000F9000000}"/>
    <cellStyle name="Normal 2 6 2" xfId="301" xr:uid="{00000000-0005-0000-0000-0000FA000000}"/>
    <cellStyle name="Normal 2 6 2 2" xfId="1031" xr:uid="{00000000-0005-0000-0000-0000FB000000}"/>
    <cellStyle name="Normal 2 6 2 3" xfId="671" xr:uid="{00000000-0005-0000-0000-0000FC000000}"/>
    <cellStyle name="Normal 2 6 3" xfId="900" xr:uid="{00000000-0005-0000-0000-0000FD000000}"/>
    <cellStyle name="Normal 2 6 4" xfId="540" xr:uid="{00000000-0005-0000-0000-0000FE000000}"/>
    <cellStyle name="Normal 2 7" xfId="130" xr:uid="{00000000-0005-0000-0000-0000FF000000}"/>
    <cellStyle name="Normal 2 7 2" xfId="269" xr:uid="{00000000-0005-0000-0000-000000010000}"/>
    <cellStyle name="Normal 2 7 2 2" xfId="999" xr:uid="{00000000-0005-0000-0000-000001010000}"/>
    <cellStyle name="Normal 2 7 2 3" xfId="639" xr:uid="{00000000-0005-0000-0000-000002010000}"/>
    <cellStyle name="Normal 2 7 3" xfId="868" xr:uid="{00000000-0005-0000-0000-000003010000}"/>
    <cellStyle name="Normal 2 7 4" xfId="508" xr:uid="{00000000-0005-0000-0000-000004010000}"/>
    <cellStyle name="Normal 2 8" xfId="227" xr:uid="{00000000-0005-0000-0000-000005010000}"/>
    <cellStyle name="Normal 2 8 2" xfId="957" xr:uid="{00000000-0005-0000-0000-000006010000}"/>
    <cellStyle name="Normal 2 8 3" xfId="597" xr:uid="{00000000-0005-0000-0000-000007010000}"/>
    <cellStyle name="Normal 2 9" xfId="387" xr:uid="{00000000-0005-0000-0000-000008010000}"/>
    <cellStyle name="Normal 2 9 2" xfId="1088" xr:uid="{00000000-0005-0000-0000-000009010000}"/>
    <cellStyle name="Normal 2 9 3" xfId="747" xr:uid="{00000000-0005-0000-0000-00000A010000}"/>
    <cellStyle name="Normal 3" xfId="9" xr:uid="{00000000-0005-0000-0000-00000B010000}"/>
    <cellStyle name="Normal 3 2" xfId="10" xr:uid="{00000000-0005-0000-0000-00000C010000}"/>
    <cellStyle name="Normal 3 3" xfId="79" xr:uid="{00000000-0005-0000-0000-00000D010000}"/>
    <cellStyle name="Normal 3 3 2" xfId="113" xr:uid="{00000000-0005-0000-0000-00000E010000}"/>
    <cellStyle name="Normal 3 3 2 2" xfId="195" xr:uid="{00000000-0005-0000-0000-00000F010000}"/>
    <cellStyle name="Normal 3 3 2 2 2" xfId="329" xr:uid="{00000000-0005-0000-0000-000010010000}"/>
    <cellStyle name="Normal 3 3 2 2 2 2" xfId="1059" xr:uid="{00000000-0005-0000-0000-000011010000}"/>
    <cellStyle name="Normal 3 3 2 2 2 3" xfId="699" xr:uid="{00000000-0005-0000-0000-000012010000}"/>
    <cellStyle name="Normal 3 3 2 2 3" xfId="388" xr:uid="{00000000-0005-0000-0000-000013010000}"/>
    <cellStyle name="Normal 3 3 2 2 3 2" xfId="1122" xr:uid="{00000000-0005-0000-0000-000014010000}"/>
    <cellStyle name="Normal 3 3 2 2 3 3" xfId="748" xr:uid="{00000000-0005-0000-0000-000015010000}"/>
    <cellStyle name="Normal 3 3 2 2 4" xfId="928" xr:uid="{00000000-0005-0000-0000-000016010000}"/>
    <cellStyle name="Normal 3 3 2 2 5" xfId="568" xr:uid="{00000000-0005-0000-0000-000017010000}"/>
    <cellStyle name="Normal 3 3 2 3" xfId="255" xr:uid="{00000000-0005-0000-0000-000018010000}"/>
    <cellStyle name="Normal 3 3 2 3 2" xfId="985" xr:uid="{00000000-0005-0000-0000-000019010000}"/>
    <cellStyle name="Normal 3 3 2 3 3" xfId="625" xr:uid="{00000000-0005-0000-0000-00001A010000}"/>
    <cellStyle name="Normal 3 3 2 4" xfId="389" xr:uid="{00000000-0005-0000-0000-00001B010000}"/>
    <cellStyle name="Normal 3 3 2 4 2" xfId="1138" xr:uid="{00000000-0005-0000-0000-00001C010000}"/>
    <cellStyle name="Normal 3 3 2 4 3" xfId="749" xr:uid="{00000000-0005-0000-0000-00001D010000}"/>
    <cellStyle name="Normal 3 3 2 5" xfId="854" xr:uid="{00000000-0005-0000-0000-00001E010000}"/>
    <cellStyle name="Normal 3 3 2 6" xfId="494" xr:uid="{00000000-0005-0000-0000-00001F010000}"/>
    <cellStyle name="Normal 3 3 3" xfId="177" xr:uid="{00000000-0005-0000-0000-000020010000}"/>
    <cellStyle name="Normal 3 3 3 2" xfId="314" xr:uid="{00000000-0005-0000-0000-000021010000}"/>
    <cellStyle name="Normal 3 3 3 2 2" xfId="1044" xr:uid="{00000000-0005-0000-0000-000022010000}"/>
    <cellStyle name="Normal 3 3 3 2 3" xfId="684" xr:uid="{00000000-0005-0000-0000-000023010000}"/>
    <cellStyle name="Normal 3 3 3 3" xfId="390" xr:uid="{00000000-0005-0000-0000-000024010000}"/>
    <cellStyle name="Normal 3 3 3 3 2" xfId="1139" xr:uid="{00000000-0005-0000-0000-000025010000}"/>
    <cellStyle name="Normal 3 3 3 3 3" xfId="750" xr:uid="{00000000-0005-0000-0000-000026010000}"/>
    <cellStyle name="Normal 3 3 3 4" xfId="913" xr:uid="{00000000-0005-0000-0000-000027010000}"/>
    <cellStyle name="Normal 3 3 3 5" xfId="553" xr:uid="{00000000-0005-0000-0000-000028010000}"/>
    <cellStyle name="Normal 3 3 4" xfId="214" xr:uid="{00000000-0005-0000-0000-000029010000}"/>
    <cellStyle name="Normal 3 3 4 2" xfId="345" xr:uid="{00000000-0005-0000-0000-00002A010000}"/>
    <cellStyle name="Normal 3 3 4 2 2" xfId="1075" xr:uid="{00000000-0005-0000-0000-00002B010000}"/>
    <cellStyle name="Normal 3 3 4 2 3" xfId="715" xr:uid="{00000000-0005-0000-0000-00002C010000}"/>
    <cellStyle name="Normal 3 3 4 3" xfId="944" xr:uid="{00000000-0005-0000-0000-00002D010000}"/>
    <cellStyle name="Normal 3 3 4 4" xfId="584" xr:uid="{00000000-0005-0000-0000-00002E010000}"/>
    <cellStyle name="Normal 3 3 5" xfId="240" xr:uid="{00000000-0005-0000-0000-00002F010000}"/>
    <cellStyle name="Normal 3 3 5 2" xfId="970" xr:uid="{00000000-0005-0000-0000-000030010000}"/>
    <cellStyle name="Normal 3 3 5 3" xfId="610" xr:uid="{00000000-0005-0000-0000-000031010000}"/>
    <cellStyle name="Normal 3 3 6" xfId="391" xr:uid="{00000000-0005-0000-0000-000032010000}"/>
    <cellStyle name="Normal 3 3 6 2" xfId="1140" xr:uid="{00000000-0005-0000-0000-000033010000}"/>
    <cellStyle name="Normal 3 3 6 3" xfId="751" xr:uid="{00000000-0005-0000-0000-000034010000}"/>
    <cellStyle name="Normal 3 3 7" xfId="839" xr:uid="{00000000-0005-0000-0000-000035010000}"/>
    <cellStyle name="Normal 3 3 8" xfId="479" xr:uid="{00000000-0005-0000-0000-000036010000}"/>
    <cellStyle name="Normal 3 3 9" xfId="1209" xr:uid="{00000000-0005-0000-0000-000037010000}"/>
    <cellStyle name="Normal 3 4" xfId="128" xr:uid="{00000000-0005-0000-0000-000038010000}"/>
    <cellStyle name="Normal 3 4 2" xfId="210" xr:uid="{00000000-0005-0000-0000-000039010000}"/>
    <cellStyle name="Normal 3 5" xfId="129" xr:uid="{00000000-0005-0000-0000-00003A010000}"/>
    <cellStyle name="Normal 3 6" xfId="362" xr:uid="{00000000-0005-0000-0000-00003B010000}"/>
    <cellStyle name="Normal 4" xfId="17" xr:uid="{00000000-0005-0000-0000-00003C010000}"/>
    <cellStyle name="Normal 4 10" xfId="146" xr:uid="{00000000-0005-0000-0000-00003D010000}"/>
    <cellStyle name="Normal 4 10 2" xfId="283" xr:uid="{00000000-0005-0000-0000-00003E010000}"/>
    <cellStyle name="Normal 4 10 2 2" xfId="1013" xr:uid="{00000000-0005-0000-0000-00003F010000}"/>
    <cellStyle name="Normal 4 10 2 3" xfId="653" xr:uid="{00000000-0005-0000-0000-000040010000}"/>
    <cellStyle name="Normal 4 10 3" xfId="882" xr:uid="{00000000-0005-0000-0000-000041010000}"/>
    <cellStyle name="Normal 4 10 4" xfId="522" xr:uid="{00000000-0005-0000-0000-000042010000}"/>
    <cellStyle name="Normal 4 11" xfId="148" xr:uid="{00000000-0005-0000-0000-000043010000}"/>
    <cellStyle name="Normal 4 11 2" xfId="285" xr:uid="{00000000-0005-0000-0000-000044010000}"/>
    <cellStyle name="Normal 4 11 2 2" xfId="1015" xr:uid="{00000000-0005-0000-0000-000045010000}"/>
    <cellStyle name="Normal 4 11 2 3" xfId="655" xr:uid="{00000000-0005-0000-0000-000046010000}"/>
    <cellStyle name="Normal 4 11 3" xfId="884" xr:uid="{00000000-0005-0000-0000-000047010000}"/>
    <cellStyle name="Normal 4 11 4" xfId="524" xr:uid="{00000000-0005-0000-0000-000048010000}"/>
    <cellStyle name="Normal 4 12" xfId="161" xr:uid="{00000000-0005-0000-0000-000049010000}"/>
    <cellStyle name="Normal 4 12 2" xfId="298" xr:uid="{00000000-0005-0000-0000-00004A010000}"/>
    <cellStyle name="Normal 4 12 2 2" xfId="1028" xr:uid="{00000000-0005-0000-0000-00004B010000}"/>
    <cellStyle name="Normal 4 12 2 3" xfId="668" xr:uid="{00000000-0005-0000-0000-00004C010000}"/>
    <cellStyle name="Normal 4 12 3" xfId="897" xr:uid="{00000000-0005-0000-0000-00004D010000}"/>
    <cellStyle name="Normal 4 12 4" xfId="537" xr:uid="{00000000-0005-0000-0000-00004E010000}"/>
    <cellStyle name="Normal 4 13" xfId="163" xr:uid="{00000000-0005-0000-0000-00004F010000}"/>
    <cellStyle name="Normal 4 13 2" xfId="300" xr:uid="{00000000-0005-0000-0000-000050010000}"/>
    <cellStyle name="Normal 4 13 2 2" xfId="1030" xr:uid="{00000000-0005-0000-0000-000051010000}"/>
    <cellStyle name="Normal 4 13 2 3" xfId="670" xr:uid="{00000000-0005-0000-0000-000052010000}"/>
    <cellStyle name="Normal 4 13 3" xfId="899" xr:uid="{00000000-0005-0000-0000-000053010000}"/>
    <cellStyle name="Normal 4 13 4" xfId="539" xr:uid="{00000000-0005-0000-0000-000054010000}"/>
    <cellStyle name="Normal 4 14" xfId="365" xr:uid="{00000000-0005-0000-0000-000055010000}"/>
    <cellStyle name="Normal 4 14 2" xfId="1130" xr:uid="{00000000-0005-0000-0000-000056010000}"/>
    <cellStyle name="Normal 4 14 3" xfId="731" xr:uid="{00000000-0005-0000-0000-000057010000}"/>
    <cellStyle name="Normal 4 2" xfId="23" xr:uid="{00000000-0005-0000-0000-000058010000}"/>
    <cellStyle name="Normal 4 2 10" xfId="468" xr:uid="{00000000-0005-0000-0000-000059010000}"/>
    <cellStyle name="Normal 4 2 2" xfId="36" xr:uid="{00000000-0005-0000-0000-00005A010000}"/>
    <cellStyle name="Normal 4 2 3" xfId="151" xr:uid="{00000000-0005-0000-0000-00005B010000}"/>
    <cellStyle name="Normal 4 2 3 2" xfId="288" xr:uid="{00000000-0005-0000-0000-00005C010000}"/>
    <cellStyle name="Normal 4 2 3 2 2" xfId="1018" xr:uid="{00000000-0005-0000-0000-00005D010000}"/>
    <cellStyle name="Normal 4 2 3 2 3" xfId="658" xr:uid="{00000000-0005-0000-0000-00005E010000}"/>
    <cellStyle name="Normal 4 2 3 3" xfId="392" xr:uid="{00000000-0005-0000-0000-00005F010000}"/>
    <cellStyle name="Normal 4 2 3 3 2" xfId="1101" xr:uid="{00000000-0005-0000-0000-000060010000}"/>
    <cellStyle name="Normal 4 2 3 3 3" xfId="752" xr:uid="{00000000-0005-0000-0000-000061010000}"/>
    <cellStyle name="Normal 4 2 3 4" xfId="1117" xr:uid="{00000000-0005-0000-0000-000062010000}"/>
    <cellStyle name="Normal 4 2 3 5" xfId="887" xr:uid="{00000000-0005-0000-0000-000063010000}"/>
    <cellStyle name="Normal 4 2 3 6" xfId="527" xr:uid="{00000000-0005-0000-0000-000064010000}"/>
    <cellStyle name="Normal 4 2 4" xfId="166" xr:uid="{00000000-0005-0000-0000-000065010000}"/>
    <cellStyle name="Normal 4 2 4 2" xfId="303" xr:uid="{00000000-0005-0000-0000-000066010000}"/>
    <cellStyle name="Normal 4 2 4 2 2" xfId="1033" xr:uid="{00000000-0005-0000-0000-000067010000}"/>
    <cellStyle name="Normal 4 2 4 2 3" xfId="673" xr:uid="{00000000-0005-0000-0000-000068010000}"/>
    <cellStyle name="Normal 4 2 4 3" xfId="393" xr:uid="{00000000-0005-0000-0000-000069010000}"/>
    <cellStyle name="Normal 4 2 4 3 2" xfId="1141" xr:uid="{00000000-0005-0000-0000-00006A010000}"/>
    <cellStyle name="Normal 4 2 4 3 3" xfId="753" xr:uid="{00000000-0005-0000-0000-00006B010000}"/>
    <cellStyle name="Normal 4 2 4 4" xfId="902" xr:uid="{00000000-0005-0000-0000-00006C010000}"/>
    <cellStyle name="Normal 4 2 4 5" xfId="542" xr:uid="{00000000-0005-0000-0000-00006D010000}"/>
    <cellStyle name="Normal 4 2 5" xfId="136" xr:uid="{00000000-0005-0000-0000-00006E010000}"/>
    <cellStyle name="Normal 4 2 5 2" xfId="273" xr:uid="{00000000-0005-0000-0000-00006F010000}"/>
    <cellStyle name="Normal 4 2 5 2 2" xfId="1003" xr:uid="{00000000-0005-0000-0000-000070010000}"/>
    <cellStyle name="Normal 4 2 5 2 3" xfId="643" xr:uid="{00000000-0005-0000-0000-000071010000}"/>
    <cellStyle name="Normal 4 2 5 3" xfId="872" xr:uid="{00000000-0005-0000-0000-000072010000}"/>
    <cellStyle name="Normal 4 2 5 4" xfId="512" xr:uid="{00000000-0005-0000-0000-000073010000}"/>
    <cellStyle name="Normal 4 2 6" xfId="229" xr:uid="{00000000-0005-0000-0000-000074010000}"/>
    <cellStyle name="Normal 4 2 6 2" xfId="959" xr:uid="{00000000-0005-0000-0000-000075010000}"/>
    <cellStyle name="Normal 4 2 6 3" xfId="599" xr:uid="{00000000-0005-0000-0000-000076010000}"/>
    <cellStyle name="Normal 4 2 7" xfId="394" xr:uid="{00000000-0005-0000-0000-000077010000}"/>
    <cellStyle name="Normal 4 2 7 2" xfId="1090" xr:uid="{00000000-0005-0000-0000-000078010000}"/>
    <cellStyle name="Normal 4 2 7 3" xfId="754" xr:uid="{00000000-0005-0000-0000-000079010000}"/>
    <cellStyle name="Normal 4 2 8" xfId="1106" xr:uid="{00000000-0005-0000-0000-00007A010000}"/>
    <cellStyle name="Normal 4 2 9" xfId="828" xr:uid="{00000000-0005-0000-0000-00007B010000}"/>
    <cellStyle name="Normal 4 3" xfId="24" xr:uid="{00000000-0005-0000-0000-00007C010000}"/>
    <cellStyle name="Normal 4 3 2" xfId="152" xr:uid="{00000000-0005-0000-0000-00007D010000}"/>
    <cellStyle name="Normal 4 3 2 2" xfId="289" xr:uid="{00000000-0005-0000-0000-00007E010000}"/>
    <cellStyle name="Normal 4 3 2 2 2" xfId="1019" xr:uid="{00000000-0005-0000-0000-00007F010000}"/>
    <cellStyle name="Normal 4 3 2 2 3" xfId="659" xr:uid="{00000000-0005-0000-0000-000080010000}"/>
    <cellStyle name="Normal 4 3 2 3" xfId="395" xr:uid="{00000000-0005-0000-0000-000081010000}"/>
    <cellStyle name="Normal 4 3 2 3 2" xfId="1142" xr:uid="{00000000-0005-0000-0000-000082010000}"/>
    <cellStyle name="Normal 4 3 2 3 3" xfId="755" xr:uid="{00000000-0005-0000-0000-000083010000}"/>
    <cellStyle name="Normal 4 3 2 4" xfId="888" xr:uid="{00000000-0005-0000-0000-000084010000}"/>
    <cellStyle name="Normal 4 3 2 5" xfId="528" xr:uid="{00000000-0005-0000-0000-000085010000}"/>
    <cellStyle name="Normal 4 3 3" xfId="167" xr:uid="{00000000-0005-0000-0000-000086010000}"/>
    <cellStyle name="Normal 4 3 3 2" xfId="304" xr:uid="{00000000-0005-0000-0000-000087010000}"/>
    <cellStyle name="Normal 4 3 3 2 2" xfId="1034" xr:uid="{00000000-0005-0000-0000-000088010000}"/>
    <cellStyle name="Normal 4 3 3 2 3" xfId="674" xr:uid="{00000000-0005-0000-0000-000089010000}"/>
    <cellStyle name="Normal 4 3 3 3" xfId="396" xr:uid="{00000000-0005-0000-0000-00008A010000}"/>
    <cellStyle name="Normal 4 3 3 3 2" xfId="1143" xr:uid="{00000000-0005-0000-0000-00008B010000}"/>
    <cellStyle name="Normal 4 3 3 3 3" xfId="756" xr:uid="{00000000-0005-0000-0000-00008C010000}"/>
    <cellStyle name="Normal 4 3 3 4" xfId="903" xr:uid="{00000000-0005-0000-0000-00008D010000}"/>
    <cellStyle name="Normal 4 3 3 5" xfId="543" xr:uid="{00000000-0005-0000-0000-00008E010000}"/>
    <cellStyle name="Normal 4 3 4" xfId="137" xr:uid="{00000000-0005-0000-0000-00008F010000}"/>
    <cellStyle name="Normal 4 3 4 2" xfId="274" xr:uid="{00000000-0005-0000-0000-000090010000}"/>
    <cellStyle name="Normal 4 3 4 2 2" xfId="1004" xr:uid="{00000000-0005-0000-0000-000091010000}"/>
    <cellStyle name="Normal 4 3 4 2 3" xfId="644" xr:uid="{00000000-0005-0000-0000-000092010000}"/>
    <cellStyle name="Normal 4 3 4 3" xfId="873" xr:uid="{00000000-0005-0000-0000-000093010000}"/>
    <cellStyle name="Normal 4 3 4 4" xfId="513" xr:uid="{00000000-0005-0000-0000-000094010000}"/>
    <cellStyle name="Normal 4 3 5" xfId="230" xr:uid="{00000000-0005-0000-0000-000095010000}"/>
    <cellStyle name="Normal 4 3 5 2" xfId="960" xr:uid="{00000000-0005-0000-0000-000096010000}"/>
    <cellStyle name="Normal 4 3 5 3" xfId="600" xr:uid="{00000000-0005-0000-0000-000097010000}"/>
    <cellStyle name="Normal 4 3 6" xfId="397" xr:uid="{00000000-0005-0000-0000-000098010000}"/>
    <cellStyle name="Normal 4 3 6 2" xfId="1091" xr:uid="{00000000-0005-0000-0000-000099010000}"/>
    <cellStyle name="Normal 4 3 6 3" xfId="757" xr:uid="{00000000-0005-0000-0000-00009A010000}"/>
    <cellStyle name="Normal 4 3 7" xfId="1107" xr:uid="{00000000-0005-0000-0000-00009B010000}"/>
    <cellStyle name="Normal 4 3 8" xfId="829" xr:uid="{00000000-0005-0000-0000-00009C010000}"/>
    <cellStyle name="Normal 4 3 9" xfId="469" xr:uid="{00000000-0005-0000-0000-00009D010000}"/>
    <cellStyle name="Normal 4 4" xfId="25" xr:uid="{00000000-0005-0000-0000-00009E010000}"/>
    <cellStyle name="Normal 4 4 2" xfId="153" xr:uid="{00000000-0005-0000-0000-00009F010000}"/>
    <cellStyle name="Normal 4 4 2 2" xfId="290" xr:uid="{00000000-0005-0000-0000-0000A0010000}"/>
    <cellStyle name="Normal 4 4 2 2 2" xfId="1020" xr:uid="{00000000-0005-0000-0000-0000A1010000}"/>
    <cellStyle name="Normal 4 4 2 2 3" xfId="660" xr:uid="{00000000-0005-0000-0000-0000A2010000}"/>
    <cellStyle name="Normal 4 4 2 3" xfId="398" xr:uid="{00000000-0005-0000-0000-0000A3010000}"/>
    <cellStyle name="Normal 4 4 2 3 2" xfId="1144" xr:uid="{00000000-0005-0000-0000-0000A4010000}"/>
    <cellStyle name="Normal 4 4 2 3 3" xfId="758" xr:uid="{00000000-0005-0000-0000-0000A5010000}"/>
    <cellStyle name="Normal 4 4 2 4" xfId="889" xr:uid="{00000000-0005-0000-0000-0000A6010000}"/>
    <cellStyle name="Normal 4 4 2 5" xfId="529" xr:uid="{00000000-0005-0000-0000-0000A7010000}"/>
    <cellStyle name="Normal 4 4 3" xfId="168" xr:uid="{00000000-0005-0000-0000-0000A8010000}"/>
    <cellStyle name="Normal 4 4 3 2" xfId="305" xr:uid="{00000000-0005-0000-0000-0000A9010000}"/>
    <cellStyle name="Normal 4 4 3 2 2" xfId="1035" xr:uid="{00000000-0005-0000-0000-0000AA010000}"/>
    <cellStyle name="Normal 4 4 3 2 3" xfId="675" xr:uid="{00000000-0005-0000-0000-0000AB010000}"/>
    <cellStyle name="Normal 4 4 3 3" xfId="399" xr:uid="{00000000-0005-0000-0000-0000AC010000}"/>
    <cellStyle name="Normal 4 4 3 3 2" xfId="1145" xr:uid="{00000000-0005-0000-0000-0000AD010000}"/>
    <cellStyle name="Normal 4 4 3 3 3" xfId="759" xr:uid="{00000000-0005-0000-0000-0000AE010000}"/>
    <cellStyle name="Normal 4 4 3 4" xfId="904" xr:uid="{00000000-0005-0000-0000-0000AF010000}"/>
    <cellStyle name="Normal 4 4 3 5" xfId="544" xr:uid="{00000000-0005-0000-0000-0000B0010000}"/>
    <cellStyle name="Normal 4 4 4" xfId="138" xr:uid="{00000000-0005-0000-0000-0000B1010000}"/>
    <cellStyle name="Normal 4 4 4 2" xfId="275" xr:uid="{00000000-0005-0000-0000-0000B2010000}"/>
    <cellStyle name="Normal 4 4 4 2 2" xfId="1005" xr:uid="{00000000-0005-0000-0000-0000B3010000}"/>
    <cellStyle name="Normal 4 4 4 2 3" xfId="645" xr:uid="{00000000-0005-0000-0000-0000B4010000}"/>
    <cellStyle name="Normal 4 4 4 3" xfId="874" xr:uid="{00000000-0005-0000-0000-0000B5010000}"/>
    <cellStyle name="Normal 4 4 4 4" xfId="514" xr:uid="{00000000-0005-0000-0000-0000B6010000}"/>
    <cellStyle name="Normal 4 4 5" xfId="231" xr:uid="{00000000-0005-0000-0000-0000B7010000}"/>
    <cellStyle name="Normal 4 4 5 2" xfId="961" xr:uid="{00000000-0005-0000-0000-0000B8010000}"/>
    <cellStyle name="Normal 4 4 5 3" xfId="601" xr:uid="{00000000-0005-0000-0000-0000B9010000}"/>
    <cellStyle name="Normal 4 4 6" xfId="400" xr:uid="{00000000-0005-0000-0000-0000BA010000}"/>
    <cellStyle name="Normal 4 4 6 2" xfId="1092" xr:uid="{00000000-0005-0000-0000-0000BB010000}"/>
    <cellStyle name="Normal 4 4 6 3" xfId="760" xr:uid="{00000000-0005-0000-0000-0000BC010000}"/>
    <cellStyle name="Normal 4 4 7" xfId="1108" xr:uid="{00000000-0005-0000-0000-0000BD010000}"/>
    <cellStyle name="Normal 4 4 8" xfId="830" xr:uid="{00000000-0005-0000-0000-0000BE010000}"/>
    <cellStyle name="Normal 4 4 9" xfId="470" xr:uid="{00000000-0005-0000-0000-0000BF010000}"/>
    <cellStyle name="Normal 4 5" xfId="26" xr:uid="{00000000-0005-0000-0000-0000C0010000}"/>
    <cellStyle name="Normal 4 5 2" xfId="154" xr:uid="{00000000-0005-0000-0000-0000C1010000}"/>
    <cellStyle name="Normal 4 5 2 2" xfId="291" xr:uid="{00000000-0005-0000-0000-0000C2010000}"/>
    <cellStyle name="Normal 4 5 2 2 2" xfId="1021" xr:uid="{00000000-0005-0000-0000-0000C3010000}"/>
    <cellStyle name="Normal 4 5 2 2 3" xfId="661" xr:uid="{00000000-0005-0000-0000-0000C4010000}"/>
    <cellStyle name="Normal 4 5 2 3" xfId="401" xr:uid="{00000000-0005-0000-0000-0000C5010000}"/>
    <cellStyle name="Normal 4 5 2 3 2" xfId="1146" xr:uid="{00000000-0005-0000-0000-0000C6010000}"/>
    <cellStyle name="Normal 4 5 2 3 3" xfId="761" xr:uid="{00000000-0005-0000-0000-0000C7010000}"/>
    <cellStyle name="Normal 4 5 2 4" xfId="890" xr:uid="{00000000-0005-0000-0000-0000C8010000}"/>
    <cellStyle name="Normal 4 5 2 5" xfId="530" xr:uid="{00000000-0005-0000-0000-0000C9010000}"/>
    <cellStyle name="Normal 4 5 3" xfId="169" xr:uid="{00000000-0005-0000-0000-0000CA010000}"/>
    <cellStyle name="Normal 4 5 3 2" xfId="306" xr:uid="{00000000-0005-0000-0000-0000CB010000}"/>
    <cellStyle name="Normal 4 5 3 2 2" xfId="1036" xr:uid="{00000000-0005-0000-0000-0000CC010000}"/>
    <cellStyle name="Normal 4 5 3 2 3" xfId="676" xr:uid="{00000000-0005-0000-0000-0000CD010000}"/>
    <cellStyle name="Normal 4 5 3 3" xfId="402" xr:uid="{00000000-0005-0000-0000-0000CE010000}"/>
    <cellStyle name="Normal 4 5 3 3 2" xfId="1147" xr:uid="{00000000-0005-0000-0000-0000CF010000}"/>
    <cellStyle name="Normal 4 5 3 3 3" xfId="762" xr:uid="{00000000-0005-0000-0000-0000D0010000}"/>
    <cellStyle name="Normal 4 5 3 4" xfId="905" xr:uid="{00000000-0005-0000-0000-0000D1010000}"/>
    <cellStyle name="Normal 4 5 3 5" xfId="545" xr:uid="{00000000-0005-0000-0000-0000D2010000}"/>
    <cellStyle name="Normal 4 5 4" xfId="139" xr:uid="{00000000-0005-0000-0000-0000D3010000}"/>
    <cellStyle name="Normal 4 5 4 2" xfId="276" xr:uid="{00000000-0005-0000-0000-0000D4010000}"/>
    <cellStyle name="Normal 4 5 4 2 2" xfId="1006" xr:uid="{00000000-0005-0000-0000-0000D5010000}"/>
    <cellStyle name="Normal 4 5 4 2 3" xfId="646" xr:uid="{00000000-0005-0000-0000-0000D6010000}"/>
    <cellStyle name="Normal 4 5 4 3" xfId="875" xr:uid="{00000000-0005-0000-0000-0000D7010000}"/>
    <cellStyle name="Normal 4 5 4 4" xfId="515" xr:uid="{00000000-0005-0000-0000-0000D8010000}"/>
    <cellStyle name="Normal 4 5 5" xfId="232" xr:uid="{00000000-0005-0000-0000-0000D9010000}"/>
    <cellStyle name="Normal 4 5 5 2" xfId="962" xr:uid="{00000000-0005-0000-0000-0000DA010000}"/>
    <cellStyle name="Normal 4 5 5 3" xfId="602" xr:uid="{00000000-0005-0000-0000-0000DB010000}"/>
    <cellStyle name="Normal 4 5 6" xfId="403" xr:uid="{00000000-0005-0000-0000-0000DC010000}"/>
    <cellStyle name="Normal 4 5 6 2" xfId="1093" xr:uid="{00000000-0005-0000-0000-0000DD010000}"/>
    <cellStyle name="Normal 4 5 6 3" xfId="763" xr:uid="{00000000-0005-0000-0000-0000DE010000}"/>
    <cellStyle name="Normal 4 5 7" xfId="1109" xr:uid="{00000000-0005-0000-0000-0000DF010000}"/>
    <cellStyle name="Normal 4 5 8" xfId="831" xr:uid="{00000000-0005-0000-0000-0000E0010000}"/>
    <cellStyle name="Normal 4 5 9" xfId="471" xr:uid="{00000000-0005-0000-0000-0000E1010000}"/>
    <cellStyle name="Normal 4 6" xfId="27" xr:uid="{00000000-0005-0000-0000-0000E2010000}"/>
    <cellStyle name="Normal 4 6 2" xfId="155" xr:uid="{00000000-0005-0000-0000-0000E3010000}"/>
    <cellStyle name="Normal 4 6 2 2" xfId="292" xr:uid="{00000000-0005-0000-0000-0000E4010000}"/>
    <cellStyle name="Normal 4 6 2 2 2" xfId="1022" xr:uid="{00000000-0005-0000-0000-0000E5010000}"/>
    <cellStyle name="Normal 4 6 2 2 3" xfId="662" xr:uid="{00000000-0005-0000-0000-0000E6010000}"/>
    <cellStyle name="Normal 4 6 2 3" xfId="404" xr:uid="{00000000-0005-0000-0000-0000E7010000}"/>
    <cellStyle name="Normal 4 6 2 3 2" xfId="1148" xr:uid="{00000000-0005-0000-0000-0000E8010000}"/>
    <cellStyle name="Normal 4 6 2 3 3" xfId="764" xr:uid="{00000000-0005-0000-0000-0000E9010000}"/>
    <cellStyle name="Normal 4 6 2 4" xfId="891" xr:uid="{00000000-0005-0000-0000-0000EA010000}"/>
    <cellStyle name="Normal 4 6 2 5" xfId="531" xr:uid="{00000000-0005-0000-0000-0000EB010000}"/>
    <cellStyle name="Normal 4 6 3" xfId="170" xr:uid="{00000000-0005-0000-0000-0000EC010000}"/>
    <cellStyle name="Normal 4 6 3 2" xfId="307" xr:uid="{00000000-0005-0000-0000-0000ED010000}"/>
    <cellStyle name="Normal 4 6 3 2 2" xfId="1037" xr:uid="{00000000-0005-0000-0000-0000EE010000}"/>
    <cellStyle name="Normal 4 6 3 2 3" xfId="677" xr:uid="{00000000-0005-0000-0000-0000EF010000}"/>
    <cellStyle name="Normal 4 6 3 3" xfId="405" xr:uid="{00000000-0005-0000-0000-0000F0010000}"/>
    <cellStyle name="Normal 4 6 3 3 2" xfId="1149" xr:uid="{00000000-0005-0000-0000-0000F1010000}"/>
    <cellStyle name="Normal 4 6 3 3 3" xfId="765" xr:uid="{00000000-0005-0000-0000-0000F2010000}"/>
    <cellStyle name="Normal 4 6 3 4" xfId="906" xr:uid="{00000000-0005-0000-0000-0000F3010000}"/>
    <cellStyle name="Normal 4 6 3 5" xfId="546" xr:uid="{00000000-0005-0000-0000-0000F4010000}"/>
    <cellStyle name="Normal 4 6 4" xfId="140" xr:uid="{00000000-0005-0000-0000-0000F5010000}"/>
    <cellStyle name="Normal 4 6 4 2" xfId="277" xr:uid="{00000000-0005-0000-0000-0000F6010000}"/>
    <cellStyle name="Normal 4 6 4 2 2" xfId="1007" xr:uid="{00000000-0005-0000-0000-0000F7010000}"/>
    <cellStyle name="Normal 4 6 4 2 3" xfId="647" xr:uid="{00000000-0005-0000-0000-0000F8010000}"/>
    <cellStyle name="Normal 4 6 4 3" xfId="876" xr:uid="{00000000-0005-0000-0000-0000F9010000}"/>
    <cellStyle name="Normal 4 6 4 4" xfId="516" xr:uid="{00000000-0005-0000-0000-0000FA010000}"/>
    <cellStyle name="Normal 4 6 5" xfId="233" xr:uid="{00000000-0005-0000-0000-0000FB010000}"/>
    <cellStyle name="Normal 4 6 5 2" xfId="963" xr:uid="{00000000-0005-0000-0000-0000FC010000}"/>
    <cellStyle name="Normal 4 6 5 3" xfId="603" xr:uid="{00000000-0005-0000-0000-0000FD010000}"/>
    <cellStyle name="Normal 4 6 6" xfId="406" xr:uid="{00000000-0005-0000-0000-0000FE010000}"/>
    <cellStyle name="Normal 4 6 6 2" xfId="1094" xr:uid="{00000000-0005-0000-0000-0000FF010000}"/>
    <cellStyle name="Normal 4 6 6 3" xfId="766" xr:uid="{00000000-0005-0000-0000-000000020000}"/>
    <cellStyle name="Normal 4 6 7" xfId="1110" xr:uid="{00000000-0005-0000-0000-000001020000}"/>
    <cellStyle name="Normal 4 6 8" xfId="832" xr:uid="{00000000-0005-0000-0000-000002020000}"/>
    <cellStyle name="Normal 4 6 9" xfId="472" xr:uid="{00000000-0005-0000-0000-000003020000}"/>
    <cellStyle name="Normal 4 7" xfId="28" xr:uid="{00000000-0005-0000-0000-000004020000}"/>
    <cellStyle name="Normal 4 7 2" xfId="156" xr:uid="{00000000-0005-0000-0000-000005020000}"/>
    <cellStyle name="Normal 4 7 2 2" xfId="293" xr:uid="{00000000-0005-0000-0000-000006020000}"/>
    <cellStyle name="Normal 4 7 2 2 2" xfId="1023" xr:uid="{00000000-0005-0000-0000-000007020000}"/>
    <cellStyle name="Normal 4 7 2 2 3" xfId="663" xr:uid="{00000000-0005-0000-0000-000008020000}"/>
    <cellStyle name="Normal 4 7 2 3" xfId="407" xr:uid="{00000000-0005-0000-0000-000009020000}"/>
    <cellStyle name="Normal 4 7 2 3 2" xfId="1150" xr:uid="{00000000-0005-0000-0000-00000A020000}"/>
    <cellStyle name="Normal 4 7 2 3 3" xfId="767" xr:uid="{00000000-0005-0000-0000-00000B020000}"/>
    <cellStyle name="Normal 4 7 2 4" xfId="892" xr:uid="{00000000-0005-0000-0000-00000C020000}"/>
    <cellStyle name="Normal 4 7 2 5" xfId="532" xr:uid="{00000000-0005-0000-0000-00000D020000}"/>
    <cellStyle name="Normal 4 7 3" xfId="171" xr:uid="{00000000-0005-0000-0000-00000E020000}"/>
    <cellStyle name="Normal 4 7 3 2" xfId="308" xr:uid="{00000000-0005-0000-0000-00000F020000}"/>
    <cellStyle name="Normal 4 7 3 2 2" xfId="1038" xr:uid="{00000000-0005-0000-0000-000010020000}"/>
    <cellStyle name="Normal 4 7 3 2 3" xfId="678" xr:uid="{00000000-0005-0000-0000-000011020000}"/>
    <cellStyle name="Normal 4 7 3 3" xfId="408" xr:uid="{00000000-0005-0000-0000-000012020000}"/>
    <cellStyle name="Normal 4 7 3 3 2" xfId="1151" xr:uid="{00000000-0005-0000-0000-000013020000}"/>
    <cellStyle name="Normal 4 7 3 3 3" xfId="768" xr:uid="{00000000-0005-0000-0000-000014020000}"/>
    <cellStyle name="Normal 4 7 3 4" xfId="907" xr:uid="{00000000-0005-0000-0000-000015020000}"/>
    <cellStyle name="Normal 4 7 3 5" xfId="547" xr:uid="{00000000-0005-0000-0000-000016020000}"/>
    <cellStyle name="Normal 4 7 4" xfId="141" xr:uid="{00000000-0005-0000-0000-000017020000}"/>
    <cellStyle name="Normal 4 7 4 2" xfId="278" xr:uid="{00000000-0005-0000-0000-000018020000}"/>
    <cellStyle name="Normal 4 7 4 2 2" xfId="1008" xr:uid="{00000000-0005-0000-0000-000019020000}"/>
    <cellStyle name="Normal 4 7 4 2 3" xfId="648" xr:uid="{00000000-0005-0000-0000-00001A020000}"/>
    <cellStyle name="Normal 4 7 4 3" xfId="877" xr:uid="{00000000-0005-0000-0000-00001B020000}"/>
    <cellStyle name="Normal 4 7 4 4" xfId="517" xr:uid="{00000000-0005-0000-0000-00001C020000}"/>
    <cellStyle name="Normal 4 7 5" xfId="234" xr:uid="{00000000-0005-0000-0000-00001D020000}"/>
    <cellStyle name="Normal 4 7 5 2" xfId="964" xr:uid="{00000000-0005-0000-0000-00001E020000}"/>
    <cellStyle name="Normal 4 7 5 3" xfId="604" xr:uid="{00000000-0005-0000-0000-00001F020000}"/>
    <cellStyle name="Normal 4 7 6" xfId="409" xr:uid="{00000000-0005-0000-0000-000020020000}"/>
    <cellStyle name="Normal 4 7 6 2" xfId="1095" xr:uid="{00000000-0005-0000-0000-000021020000}"/>
    <cellStyle name="Normal 4 7 6 3" xfId="769" xr:uid="{00000000-0005-0000-0000-000022020000}"/>
    <cellStyle name="Normal 4 7 7" xfId="1111" xr:uid="{00000000-0005-0000-0000-000023020000}"/>
    <cellStyle name="Normal 4 7 8" xfId="833" xr:uid="{00000000-0005-0000-0000-000024020000}"/>
    <cellStyle name="Normal 4 7 9" xfId="473" xr:uid="{00000000-0005-0000-0000-000025020000}"/>
    <cellStyle name="Normal 4 8" xfId="29" xr:uid="{00000000-0005-0000-0000-000026020000}"/>
    <cellStyle name="Normal 4 8 2" xfId="157" xr:uid="{00000000-0005-0000-0000-000027020000}"/>
    <cellStyle name="Normal 4 8 2 2" xfId="294" xr:uid="{00000000-0005-0000-0000-000028020000}"/>
    <cellStyle name="Normal 4 8 2 2 2" xfId="1024" xr:uid="{00000000-0005-0000-0000-000029020000}"/>
    <cellStyle name="Normal 4 8 2 2 3" xfId="664" xr:uid="{00000000-0005-0000-0000-00002A020000}"/>
    <cellStyle name="Normal 4 8 2 3" xfId="410" xr:uid="{00000000-0005-0000-0000-00002B020000}"/>
    <cellStyle name="Normal 4 8 2 3 2" xfId="1152" xr:uid="{00000000-0005-0000-0000-00002C020000}"/>
    <cellStyle name="Normal 4 8 2 3 3" xfId="770" xr:uid="{00000000-0005-0000-0000-00002D020000}"/>
    <cellStyle name="Normal 4 8 2 4" xfId="893" xr:uid="{00000000-0005-0000-0000-00002E020000}"/>
    <cellStyle name="Normal 4 8 2 5" xfId="533" xr:uid="{00000000-0005-0000-0000-00002F020000}"/>
    <cellStyle name="Normal 4 8 3" xfId="172" xr:uid="{00000000-0005-0000-0000-000030020000}"/>
    <cellStyle name="Normal 4 8 3 2" xfId="309" xr:uid="{00000000-0005-0000-0000-000031020000}"/>
    <cellStyle name="Normal 4 8 3 2 2" xfId="1039" xr:uid="{00000000-0005-0000-0000-000032020000}"/>
    <cellStyle name="Normal 4 8 3 2 3" xfId="679" xr:uid="{00000000-0005-0000-0000-000033020000}"/>
    <cellStyle name="Normal 4 8 3 3" xfId="411" xr:uid="{00000000-0005-0000-0000-000034020000}"/>
    <cellStyle name="Normal 4 8 3 3 2" xfId="1153" xr:uid="{00000000-0005-0000-0000-000035020000}"/>
    <cellStyle name="Normal 4 8 3 3 3" xfId="771" xr:uid="{00000000-0005-0000-0000-000036020000}"/>
    <cellStyle name="Normal 4 8 3 4" xfId="908" xr:uid="{00000000-0005-0000-0000-000037020000}"/>
    <cellStyle name="Normal 4 8 3 5" xfId="548" xr:uid="{00000000-0005-0000-0000-000038020000}"/>
    <cellStyle name="Normal 4 8 4" xfId="142" xr:uid="{00000000-0005-0000-0000-000039020000}"/>
    <cellStyle name="Normal 4 8 4 2" xfId="279" xr:uid="{00000000-0005-0000-0000-00003A020000}"/>
    <cellStyle name="Normal 4 8 4 2 2" xfId="1009" xr:uid="{00000000-0005-0000-0000-00003B020000}"/>
    <cellStyle name="Normal 4 8 4 2 3" xfId="649" xr:uid="{00000000-0005-0000-0000-00003C020000}"/>
    <cellStyle name="Normal 4 8 4 3" xfId="878" xr:uid="{00000000-0005-0000-0000-00003D020000}"/>
    <cellStyle name="Normal 4 8 4 4" xfId="518" xr:uid="{00000000-0005-0000-0000-00003E020000}"/>
    <cellStyle name="Normal 4 8 5" xfId="235" xr:uid="{00000000-0005-0000-0000-00003F020000}"/>
    <cellStyle name="Normal 4 8 5 2" xfId="965" xr:uid="{00000000-0005-0000-0000-000040020000}"/>
    <cellStyle name="Normal 4 8 5 3" xfId="605" xr:uid="{00000000-0005-0000-0000-000041020000}"/>
    <cellStyle name="Normal 4 8 6" xfId="412" xr:uid="{00000000-0005-0000-0000-000042020000}"/>
    <cellStyle name="Normal 4 8 6 2" xfId="1096" xr:uid="{00000000-0005-0000-0000-000043020000}"/>
    <cellStyle name="Normal 4 8 6 3" xfId="772" xr:uid="{00000000-0005-0000-0000-000044020000}"/>
    <cellStyle name="Normal 4 8 7" xfId="1112" xr:uid="{00000000-0005-0000-0000-000045020000}"/>
    <cellStyle name="Normal 4 8 8" xfId="834" xr:uid="{00000000-0005-0000-0000-000046020000}"/>
    <cellStyle name="Normal 4 8 9" xfId="474" xr:uid="{00000000-0005-0000-0000-000047020000}"/>
    <cellStyle name="Normal 4 9" xfId="34" xr:uid="{00000000-0005-0000-0000-000048020000}"/>
    <cellStyle name="Normal 4 9 2" xfId="159" xr:uid="{00000000-0005-0000-0000-000049020000}"/>
    <cellStyle name="Normal 4 9 2 2" xfId="296" xr:uid="{00000000-0005-0000-0000-00004A020000}"/>
    <cellStyle name="Normal 4 9 2 2 2" xfId="1026" xr:uid="{00000000-0005-0000-0000-00004B020000}"/>
    <cellStyle name="Normal 4 9 2 2 3" xfId="666" xr:uid="{00000000-0005-0000-0000-00004C020000}"/>
    <cellStyle name="Normal 4 9 2 3" xfId="413" xr:uid="{00000000-0005-0000-0000-00004D020000}"/>
    <cellStyle name="Normal 4 9 2 3 2" xfId="1154" xr:uid="{00000000-0005-0000-0000-00004E020000}"/>
    <cellStyle name="Normal 4 9 2 3 3" xfId="773" xr:uid="{00000000-0005-0000-0000-00004F020000}"/>
    <cellStyle name="Normal 4 9 2 4" xfId="895" xr:uid="{00000000-0005-0000-0000-000050020000}"/>
    <cellStyle name="Normal 4 9 2 5" xfId="535" xr:uid="{00000000-0005-0000-0000-000051020000}"/>
    <cellStyle name="Normal 4 9 3" xfId="174" xr:uid="{00000000-0005-0000-0000-000052020000}"/>
    <cellStyle name="Normal 4 9 3 2" xfId="311" xr:uid="{00000000-0005-0000-0000-000053020000}"/>
    <cellStyle name="Normal 4 9 3 2 2" xfId="1041" xr:uid="{00000000-0005-0000-0000-000054020000}"/>
    <cellStyle name="Normal 4 9 3 2 3" xfId="681" xr:uid="{00000000-0005-0000-0000-000055020000}"/>
    <cellStyle name="Normal 4 9 3 3" xfId="414" xr:uid="{00000000-0005-0000-0000-000056020000}"/>
    <cellStyle name="Normal 4 9 3 3 2" xfId="1155" xr:uid="{00000000-0005-0000-0000-000057020000}"/>
    <cellStyle name="Normal 4 9 3 3 3" xfId="774" xr:uid="{00000000-0005-0000-0000-000058020000}"/>
    <cellStyle name="Normal 4 9 3 4" xfId="910" xr:uid="{00000000-0005-0000-0000-000059020000}"/>
    <cellStyle name="Normal 4 9 3 5" xfId="550" xr:uid="{00000000-0005-0000-0000-00005A020000}"/>
    <cellStyle name="Normal 4 9 4" xfId="144" xr:uid="{00000000-0005-0000-0000-00005B020000}"/>
    <cellStyle name="Normal 4 9 4 2" xfId="281" xr:uid="{00000000-0005-0000-0000-00005C020000}"/>
    <cellStyle name="Normal 4 9 4 2 2" xfId="1011" xr:uid="{00000000-0005-0000-0000-00005D020000}"/>
    <cellStyle name="Normal 4 9 4 2 3" xfId="651" xr:uid="{00000000-0005-0000-0000-00005E020000}"/>
    <cellStyle name="Normal 4 9 4 3" xfId="880" xr:uid="{00000000-0005-0000-0000-00005F020000}"/>
    <cellStyle name="Normal 4 9 4 4" xfId="520" xr:uid="{00000000-0005-0000-0000-000060020000}"/>
    <cellStyle name="Normal 4 9 5" xfId="237" xr:uid="{00000000-0005-0000-0000-000061020000}"/>
    <cellStyle name="Normal 4 9 5 2" xfId="967" xr:uid="{00000000-0005-0000-0000-000062020000}"/>
    <cellStyle name="Normal 4 9 5 3" xfId="607" xr:uid="{00000000-0005-0000-0000-000063020000}"/>
    <cellStyle name="Normal 4 9 6" xfId="415" xr:uid="{00000000-0005-0000-0000-000064020000}"/>
    <cellStyle name="Normal 4 9 6 2" xfId="1098" xr:uid="{00000000-0005-0000-0000-000065020000}"/>
    <cellStyle name="Normal 4 9 6 3" xfId="775" xr:uid="{00000000-0005-0000-0000-000066020000}"/>
    <cellStyle name="Normal 4 9 7" xfId="1114" xr:uid="{00000000-0005-0000-0000-000067020000}"/>
    <cellStyle name="Normal 4 9 8" xfId="836" xr:uid="{00000000-0005-0000-0000-000068020000}"/>
    <cellStyle name="Normal 4 9 9" xfId="476" xr:uid="{00000000-0005-0000-0000-000069020000}"/>
    <cellStyle name="Normal 5" xfId="30" xr:uid="{00000000-0005-0000-0000-00006A020000}"/>
    <cellStyle name="Normal 5 10" xfId="416" xr:uid="{00000000-0005-0000-0000-00006B020000}"/>
    <cellStyle name="Normal 5 10 2" xfId="1113" xr:uid="{00000000-0005-0000-0000-00006C020000}"/>
    <cellStyle name="Normal 5 10 3" xfId="776" xr:uid="{00000000-0005-0000-0000-00006D020000}"/>
    <cellStyle name="Normal 5 11" xfId="835" xr:uid="{00000000-0005-0000-0000-00006E020000}"/>
    <cellStyle name="Normal 5 12" xfId="475" xr:uid="{00000000-0005-0000-0000-00006F020000}"/>
    <cellStyle name="Normal 5 13" xfId="1210" xr:uid="{00000000-0005-0000-0000-000070020000}"/>
    <cellStyle name="Normal 5 2" xfId="81" xr:uid="{00000000-0005-0000-0000-000071020000}"/>
    <cellStyle name="Normal 5 2 10" xfId="1211" xr:uid="{00000000-0005-0000-0000-000072020000}"/>
    <cellStyle name="Normal 5 2 2" xfId="115" xr:uid="{00000000-0005-0000-0000-000073020000}"/>
    <cellStyle name="Normal 5 2 2 2" xfId="197" xr:uid="{00000000-0005-0000-0000-000074020000}"/>
    <cellStyle name="Normal 5 2 2 2 2" xfId="331" xr:uid="{00000000-0005-0000-0000-000075020000}"/>
    <cellStyle name="Normal 5 2 2 2 2 2" xfId="1061" xr:uid="{00000000-0005-0000-0000-000076020000}"/>
    <cellStyle name="Normal 5 2 2 2 2 3" xfId="701" xr:uid="{00000000-0005-0000-0000-000077020000}"/>
    <cellStyle name="Normal 5 2 2 2 3" xfId="417" xr:uid="{00000000-0005-0000-0000-000078020000}"/>
    <cellStyle name="Normal 5 2 2 2 3 2" xfId="1156" xr:uid="{00000000-0005-0000-0000-000079020000}"/>
    <cellStyle name="Normal 5 2 2 2 3 3" xfId="777" xr:uid="{00000000-0005-0000-0000-00007A020000}"/>
    <cellStyle name="Normal 5 2 2 2 4" xfId="930" xr:uid="{00000000-0005-0000-0000-00007B020000}"/>
    <cellStyle name="Normal 5 2 2 2 5" xfId="570" xr:uid="{00000000-0005-0000-0000-00007C020000}"/>
    <cellStyle name="Normal 5 2 2 3" xfId="257" xr:uid="{00000000-0005-0000-0000-00007D020000}"/>
    <cellStyle name="Normal 5 2 2 3 2" xfId="987" xr:uid="{00000000-0005-0000-0000-00007E020000}"/>
    <cellStyle name="Normal 5 2 2 3 3" xfId="627" xr:uid="{00000000-0005-0000-0000-00007F020000}"/>
    <cellStyle name="Normal 5 2 2 4" xfId="418" xr:uid="{00000000-0005-0000-0000-000080020000}"/>
    <cellStyle name="Normal 5 2 2 4 2" xfId="1157" xr:uid="{00000000-0005-0000-0000-000081020000}"/>
    <cellStyle name="Normal 5 2 2 4 3" xfId="778" xr:uid="{00000000-0005-0000-0000-000082020000}"/>
    <cellStyle name="Normal 5 2 2 5" xfId="856" xr:uid="{00000000-0005-0000-0000-000083020000}"/>
    <cellStyle name="Normal 5 2 2 6" xfId="496" xr:uid="{00000000-0005-0000-0000-000084020000}"/>
    <cellStyle name="Normal 5 2 3" xfId="179" xr:uid="{00000000-0005-0000-0000-000085020000}"/>
    <cellStyle name="Normal 5 2 3 2" xfId="316" xr:uid="{00000000-0005-0000-0000-000086020000}"/>
    <cellStyle name="Normal 5 2 3 2 2" xfId="1046" xr:uid="{00000000-0005-0000-0000-000087020000}"/>
    <cellStyle name="Normal 5 2 3 2 3" xfId="686" xr:uid="{00000000-0005-0000-0000-000088020000}"/>
    <cellStyle name="Normal 5 2 3 3" xfId="419" xr:uid="{00000000-0005-0000-0000-000089020000}"/>
    <cellStyle name="Normal 5 2 3 3 2" xfId="1158" xr:uid="{00000000-0005-0000-0000-00008A020000}"/>
    <cellStyle name="Normal 5 2 3 3 3" xfId="779" xr:uid="{00000000-0005-0000-0000-00008B020000}"/>
    <cellStyle name="Normal 5 2 3 4" xfId="915" xr:uid="{00000000-0005-0000-0000-00008C020000}"/>
    <cellStyle name="Normal 5 2 3 5" xfId="555" xr:uid="{00000000-0005-0000-0000-00008D020000}"/>
    <cellStyle name="Normal 5 2 4" xfId="158" xr:uid="{00000000-0005-0000-0000-00008E020000}"/>
    <cellStyle name="Normal 5 2 4 2" xfId="295" xr:uid="{00000000-0005-0000-0000-00008F020000}"/>
    <cellStyle name="Normal 5 2 4 2 2" xfId="1025" xr:uid="{00000000-0005-0000-0000-000090020000}"/>
    <cellStyle name="Normal 5 2 4 2 3" xfId="665" xr:uid="{00000000-0005-0000-0000-000091020000}"/>
    <cellStyle name="Normal 5 2 4 3" xfId="894" xr:uid="{00000000-0005-0000-0000-000092020000}"/>
    <cellStyle name="Normal 5 2 4 4" xfId="534" xr:uid="{00000000-0005-0000-0000-000093020000}"/>
    <cellStyle name="Normal 5 2 5" xfId="216" xr:uid="{00000000-0005-0000-0000-000094020000}"/>
    <cellStyle name="Normal 5 2 5 2" xfId="347" xr:uid="{00000000-0005-0000-0000-000095020000}"/>
    <cellStyle name="Normal 5 2 5 2 2" xfId="1077" xr:uid="{00000000-0005-0000-0000-000096020000}"/>
    <cellStyle name="Normal 5 2 5 2 3" xfId="717" xr:uid="{00000000-0005-0000-0000-000097020000}"/>
    <cellStyle name="Normal 5 2 5 3" xfId="946" xr:uid="{00000000-0005-0000-0000-000098020000}"/>
    <cellStyle name="Normal 5 2 5 4" xfId="586" xr:uid="{00000000-0005-0000-0000-000099020000}"/>
    <cellStyle name="Normal 5 2 6" xfId="242" xr:uid="{00000000-0005-0000-0000-00009A020000}"/>
    <cellStyle name="Normal 5 2 6 2" xfId="972" xr:uid="{00000000-0005-0000-0000-00009B020000}"/>
    <cellStyle name="Normal 5 2 6 3" xfId="612" xr:uid="{00000000-0005-0000-0000-00009C020000}"/>
    <cellStyle name="Normal 5 2 7" xfId="420" xr:uid="{00000000-0005-0000-0000-00009D020000}"/>
    <cellStyle name="Normal 5 2 7 2" xfId="1159" xr:uid="{00000000-0005-0000-0000-00009E020000}"/>
    <cellStyle name="Normal 5 2 7 3" xfId="780" xr:uid="{00000000-0005-0000-0000-00009F020000}"/>
    <cellStyle name="Normal 5 2 8" xfId="841" xr:uid="{00000000-0005-0000-0000-0000A0020000}"/>
    <cellStyle name="Normal 5 2 9" xfId="481" xr:uid="{00000000-0005-0000-0000-0000A1020000}"/>
    <cellStyle name="Normal 5 3" xfId="80" xr:uid="{00000000-0005-0000-0000-0000A2020000}"/>
    <cellStyle name="Normal 5 3 2" xfId="178" xr:uid="{00000000-0005-0000-0000-0000A3020000}"/>
    <cellStyle name="Normal 5 3 2 2" xfId="315" xr:uid="{00000000-0005-0000-0000-0000A4020000}"/>
    <cellStyle name="Normal 5 3 2 2 2" xfId="1045" xr:uid="{00000000-0005-0000-0000-0000A5020000}"/>
    <cellStyle name="Normal 5 3 2 2 3" xfId="685" xr:uid="{00000000-0005-0000-0000-0000A6020000}"/>
    <cellStyle name="Normal 5 3 2 3" xfId="421" xr:uid="{00000000-0005-0000-0000-0000A7020000}"/>
    <cellStyle name="Normal 5 3 2 3 2" xfId="1160" xr:uid="{00000000-0005-0000-0000-0000A8020000}"/>
    <cellStyle name="Normal 5 3 2 3 3" xfId="781" xr:uid="{00000000-0005-0000-0000-0000A9020000}"/>
    <cellStyle name="Normal 5 3 2 4" xfId="914" xr:uid="{00000000-0005-0000-0000-0000AA020000}"/>
    <cellStyle name="Normal 5 3 2 5" xfId="554" xr:uid="{00000000-0005-0000-0000-0000AB020000}"/>
    <cellStyle name="Normal 5 3 3" xfId="241" xr:uid="{00000000-0005-0000-0000-0000AC020000}"/>
    <cellStyle name="Normal 5 3 3 2" xfId="971" xr:uid="{00000000-0005-0000-0000-0000AD020000}"/>
    <cellStyle name="Normal 5 3 3 3" xfId="611" xr:uid="{00000000-0005-0000-0000-0000AE020000}"/>
    <cellStyle name="Normal 5 3 4" xfId="422" xr:uid="{00000000-0005-0000-0000-0000AF020000}"/>
    <cellStyle name="Normal 5 3 4 2" xfId="1161" xr:uid="{00000000-0005-0000-0000-0000B0020000}"/>
    <cellStyle name="Normal 5 3 4 3" xfId="782" xr:uid="{00000000-0005-0000-0000-0000B1020000}"/>
    <cellStyle name="Normal 5 3 5" xfId="840" xr:uid="{00000000-0005-0000-0000-0000B2020000}"/>
    <cellStyle name="Normal 5 3 6" xfId="480" xr:uid="{00000000-0005-0000-0000-0000B3020000}"/>
    <cellStyle name="Normal 5 4" xfId="114" xr:uid="{00000000-0005-0000-0000-0000B4020000}"/>
    <cellStyle name="Normal 5 4 2" xfId="196" xr:uid="{00000000-0005-0000-0000-0000B5020000}"/>
    <cellStyle name="Normal 5 4 2 2" xfId="330" xr:uid="{00000000-0005-0000-0000-0000B6020000}"/>
    <cellStyle name="Normal 5 4 2 2 2" xfId="1060" xr:uid="{00000000-0005-0000-0000-0000B7020000}"/>
    <cellStyle name="Normal 5 4 2 2 3" xfId="700" xr:uid="{00000000-0005-0000-0000-0000B8020000}"/>
    <cellStyle name="Normal 5 4 2 3" xfId="423" xr:uid="{00000000-0005-0000-0000-0000B9020000}"/>
    <cellStyle name="Normal 5 4 2 3 2" xfId="1162" xr:uid="{00000000-0005-0000-0000-0000BA020000}"/>
    <cellStyle name="Normal 5 4 2 3 3" xfId="783" xr:uid="{00000000-0005-0000-0000-0000BB020000}"/>
    <cellStyle name="Normal 5 4 2 4" xfId="929" xr:uid="{00000000-0005-0000-0000-0000BC020000}"/>
    <cellStyle name="Normal 5 4 2 5" xfId="569" xr:uid="{00000000-0005-0000-0000-0000BD020000}"/>
    <cellStyle name="Normal 5 4 3" xfId="256" xr:uid="{00000000-0005-0000-0000-0000BE020000}"/>
    <cellStyle name="Normal 5 4 3 2" xfId="986" xr:uid="{00000000-0005-0000-0000-0000BF020000}"/>
    <cellStyle name="Normal 5 4 3 3" xfId="626" xr:uid="{00000000-0005-0000-0000-0000C0020000}"/>
    <cellStyle name="Normal 5 4 4" xfId="424" xr:uid="{00000000-0005-0000-0000-0000C1020000}"/>
    <cellStyle name="Normal 5 4 4 2" xfId="1163" xr:uid="{00000000-0005-0000-0000-0000C2020000}"/>
    <cellStyle name="Normal 5 4 4 3" xfId="784" xr:uid="{00000000-0005-0000-0000-0000C3020000}"/>
    <cellStyle name="Normal 5 4 5" xfId="855" xr:uid="{00000000-0005-0000-0000-0000C4020000}"/>
    <cellStyle name="Normal 5 4 6" xfId="495" xr:uid="{00000000-0005-0000-0000-0000C5020000}"/>
    <cellStyle name="Normal 5 5" xfId="173" xr:uid="{00000000-0005-0000-0000-0000C6020000}"/>
    <cellStyle name="Normal 5 5 2" xfId="310" xr:uid="{00000000-0005-0000-0000-0000C7020000}"/>
    <cellStyle name="Normal 5 5 2 2" xfId="1040" xr:uid="{00000000-0005-0000-0000-0000C8020000}"/>
    <cellStyle name="Normal 5 5 2 3" xfId="680" xr:uid="{00000000-0005-0000-0000-0000C9020000}"/>
    <cellStyle name="Normal 5 5 3" xfId="425" xr:uid="{00000000-0005-0000-0000-0000CA020000}"/>
    <cellStyle name="Normal 5 5 3 2" xfId="1164" xr:uid="{00000000-0005-0000-0000-0000CB020000}"/>
    <cellStyle name="Normal 5 5 3 3" xfId="785" xr:uid="{00000000-0005-0000-0000-0000CC020000}"/>
    <cellStyle name="Normal 5 5 4" xfId="909" xr:uid="{00000000-0005-0000-0000-0000CD020000}"/>
    <cellStyle name="Normal 5 5 5" xfId="549" xr:uid="{00000000-0005-0000-0000-0000CE020000}"/>
    <cellStyle name="Normal 5 6" xfId="143" xr:uid="{00000000-0005-0000-0000-0000CF020000}"/>
    <cellStyle name="Normal 5 6 2" xfId="280" xr:uid="{00000000-0005-0000-0000-0000D0020000}"/>
    <cellStyle name="Normal 5 6 2 2" xfId="1010" xr:uid="{00000000-0005-0000-0000-0000D1020000}"/>
    <cellStyle name="Normal 5 6 2 3" xfId="650" xr:uid="{00000000-0005-0000-0000-0000D2020000}"/>
    <cellStyle name="Normal 5 6 3" xfId="879" xr:uid="{00000000-0005-0000-0000-0000D3020000}"/>
    <cellStyle name="Normal 5 6 4" xfId="519" xr:uid="{00000000-0005-0000-0000-0000D4020000}"/>
    <cellStyle name="Normal 5 7" xfId="215" xr:uid="{00000000-0005-0000-0000-0000D5020000}"/>
    <cellStyle name="Normal 5 7 2" xfId="346" xr:uid="{00000000-0005-0000-0000-0000D6020000}"/>
    <cellStyle name="Normal 5 7 2 2" xfId="1076" xr:uid="{00000000-0005-0000-0000-0000D7020000}"/>
    <cellStyle name="Normal 5 7 2 3" xfId="716" xr:uid="{00000000-0005-0000-0000-0000D8020000}"/>
    <cellStyle name="Normal 5 7 3" xfId="945" xr:uid="{00000000-0005-0000-0000-0000D9020000}"/>
    <cellStyle name="Normal 5 7 4" xfId="585" xr:uid="{00000000-0005-0000-0000-0000DA020000}"/>
    <cellStyle name="Normal 5 8" xfId="236" xr:uid="{00000000-0005-0000-0000-0000DB020000}"/>
    <cellStyle name="Normal 5 8 2" xfId="966" xr:uid="{00000000-0005-0000-0000-0000DC020000}"/>
    <cellStyle name="Normal 5 8 3" xfId="606" xr:uid="{00000000-0005-0000-0000-0000DD020000}"/>
    <cellStyle name="Normal 5 9" xfId="363" xr:uid="{00000000-0005-0000-0000-0000DE020000}"/>
    <cellStyle name="Normal 5 9 2" xfId="1097" xr:uid="{00000000-0005-0000-0000-0000DF020000}"/>
    <cellStyle name="Normal 6" xfId="82" xr:uid="{00000000-0005-0000-0000-0000E0020000}"/>
    <cellStyle name="Normal 6 10" xfId="482" xr:uid="{00000000-0005-0000-0000-0000E1020000}"/>
    <cellStyle name="Normal 6 11" xfId="1212" xr:uid="{00000000-0005-0000-0000-0000E2020000}"/>
    <cellStyle name="Normal 6 2" xfId="83" xr:uid="{00000000-0005-0000-0000-0000E3020000}"/>
    <cellStyle name="Normal 6 2 2" xfId="117" xr:uid="{00000000-0005-0000-0000-0000E4020000}"/>
    <cellStyle name="Normal 6 2 2 2" xfId="199" xr:uid="{00000000-0005-0000-0000-0000E5020000}"/>
    <cellStyle name="Normal 6 2 2 2 2" xfId="333" xr:uid="{00000000-0005-0000-0000-0000E6020000}"/>
    <cellStyle name="Normal 6 2 2 2 2 2" xfId="1063" xr:uid="{00000000-0005-0000-0000-0000E7020000}"/>
    <cellStyle name="Normal 6 2 2 2 2 3" xfId="703" xr:uid="{00000000-0005-0000-0000-0000E8020000}"/>
    <cellStyle name="Normal 6 2 2 2 3" xfId="426" xr:uid="{00000000-0005-0000-0000-0000E9020000}"/>
    <cellStyle name="Normal 6 2 2 2 3 2" xfId="1165" xr:uid="{00000000-0005-0000-0000-0000EA020000}"/>
    <cellStyle name="Normal 6 2 2 2 3 3" xfId="786" xr:uid="{00000000-0005-0000-0000-0000EB020000}"/>
    <cellStyle name="Normal 6 2 2 2 4" xfId="932" xr:uid="{00000000-0005-0000-0000-0000EC020000}"/>
    <cellStyle name="Normal 6 2 2 2 5" xfId="572" xr:uid="{00000000-0005-0000-0000-0000ED020000}"/>
    <cellStyle name="Normal 6 2 2 3" xfId="259" xr:uid="{00000000-0005-0000-0000-0000EE020000}"/>
    <cellStyle name="Normal 6 2 2 3 2" xfId="989" xr:uid="{00000000-0005-0000-0000-0000EF020000}"/>
    <cellStyle name="Normal 6 2 2 3 3" xfId="629" xr:uid="{00000000-0005-0000-0000-0000F0020000}"/>
    <cellStyle name="Normal 6 2 2 4" xfId="427" xr:uid="{00000000-0005-0000-0000-0000F1020000}"/>
    <cellStyle name="Normal 6 2 2 4 2" xfId="1166" xr:uid="{00000000-0005-0000-0000-0000F2020000}"/>
    <cellStyle name="Normal 6 2 2 4 3" xfId="787" xr:uid="{00000000-0005-0000-0000-0000F3020000}"/>
    <cellStyle name="Normal 6 2 2 5" xfId="858" xr:uid="{00000000-0005-0000-0000-0000F4020000}"/>
    <cellStyle name="Normal 6 2 2 6" xfId="498" xr:uid="{00000000-0005-0000-0000-0000F5020000}"/>
    <cellStyle name="Normal 6 2 3" xfId="181" xr:uid="{00000000-0005-0000-0000-0000F6020000}"/>
    <cellStyle name="Normal 6 2 3 2" xfId="318" xr:uid="{00000000-0005-0000-0000-0000F7020000}"/>
    <cellStyle name="Normal 6 2 3 2 2" xfId="1048" xr:uid="{00000000-0005-0000-0000-0000F8020000}"/>
    <cellStyle name="Normal 6 2 3 2 3" xfId="688" xr:uid="{00000000-0005-0000-0000-0000F9020000}"/>
    <cellStyle name="Normal 6 2 3 3" xfId="428" xr:uid="{00000000-0005-0000-0000-0000FA020000}"/>
    <cellStyle name="Normal 6 2 3 3 2" xfId="1167" xr:uid="{00000000-0005-0000-0000-0000FB020000}"/>
    <cellStyle name="Normal 6 2 3 3 3" xfId="788" xr:uid="{00000000-0005-0000-0000-0000FC020000}"/>
    <cellStyle name="Normal 6 2 3 4" xfId="917" xr:uid="{00000000-0005-0000-0000-0000FD020000}"/>
    <cellStyle name="Normal 6 2 3 5" xfId="557" xr:uid="{00000000-0005-0000-0000-0000FE020000}"/>
    <cellStyle name="Normal 6 2 4" xfId="218" xr:uid="{00000000-0005-0000-0000-0000FF020000}"/>
    <cellStyle name="Normal 6 2 4 2" xfId="349" xr:uid="{00000000-0005-0000-0000-000000030000}"/>
    <cellStyle name="Normal 6 2 4 2 2" xfId="1079" xr:uid="{00000000-0005-0000-0000-000001030000}"/>
    <cellStyle name="Normal 6 2 4 2 3" xfId="719" xr:uid="{00000000-0005-0000-0000-000002030000}"/>
    <cellStyle name="Normal 6 2 4 3" xfId="948" xr:uid="{00000000-0005-0000-0000-000003030000}"/>
    <cellStyle name="Normal 6 2 4 4" xfId="588" xr:uid="{00000000-0005-0000-0000-000004030000}"/>
    <cellStyle name="Normal 6 2 5" xfId="244" xr:uid="{00000000-0005-0000-0000-000005030000}"/>
    <cellStyle name="Normal 6 2 5 2" xfId="974" xr:uid="{00000000-0005-0000-0000-000006030000}"/>
    <cellStyle name="Normal 6 2 5 3" xfId="614" xr:uid="{00000000-0005-0000-0000-000007030000}"/>
    <cellStyle name="Normal 6 2 6" xfId="429" xr:uid="{00000000-0005-0000-0000-000008030000}"/>
    <cellStyle name="Normal 6 2 6 2" xfId="1168" xr:uid="{00000000-0005-0000-0000-000009030000}"/>
    <cellStyle name="Normal 6 2 6 3" xfId="789" xr:uid="{00000000-0005-0000-0000-00000A030000}"/>
    <cellStyle name="Normal 6 2 7" xfId="843" xr:uid="{00000000-0005-0000-0000-00000B030000}"/>
    <cellStyle name="Normal 6 2 8" xfId="483" xr:uid="{00000000-0005-0000-0000-00000C030000}"/>
    <cellStyle name="Normal 6 2 9" xfId="1213" xr:uid="{00000000-0005-0000-0000-00000D030000}"/>
    <cellStyle name="Normal 6 3" xfId="116" xr:uid="{00000000-0005-0000-0000-00000E030000}"/>
    <cellStyle name="Normal 6 3 2" xfId="198" xr:uid="{00000000-0005-0000-0000-00000F030000}"/>
    <cellStyle name="Normal 6 3 2 2" xfId="332" xr:uid="{00000000-0005-0000-0000-000010030000}"/>
    <cellStyle name="Normal 6 3 2 2 2" xfId="1062" xr:uid="{00000000-0005-0000-0000-000011030000}"/>
    <cellStyle name="Normal 6 3 2 2 3" xfId="702" xr:uid="{00000000-0005-0000-0000-000012030000}"/>
    <cellStyle name="Normal 6 3 2 3" xfId="430" xr:uid="{00000000-0005-0000-0000-000013030000}"/>
    <cellStyle name="Normal 6 3 2 3 2" xfId="1169" xr:uid="{00000000-0005-0000-0000-000014030000}"/>
    <cellStyle name="Normal 6 3 2 3 3" xfId="790" xr:uid="{00000000-0005-0000-0000-000015030000}"/>
    <cellStyle name="Normal 6 3 2 4" xfId="931" xr:uid="{00000000-0005-0000-0000-000016030000}"/>
    <cellStyle name="Normal 6 3 2 5" xfId="571" xr:uid="{00000000-0005-0000-0000-000017030000}"/>
    <cellStyle name="Normal 6 3 3" xfId="258" xr:uid="{00000000-0005-0000-0000-000018030000}"/>
    <cellStyle name="Normal 6 3 3 2" xfId="988" xr:uid="{00000000-0005-0000-0000-000019030000}"/>
    <cellStyle name="Normal 6 3 3 3" xfId="628" xr:uid="{00000000-0005-0000-0000-00001A030000}"/>
    <cellStyle name="Normal 6 3 4" xfId="431" xr:uid="{00000000-0005-0000-0000-00001B030000}"/>
    <cellStyle name="Normal 6 3 4 2" xfId="1170" xr:uid="{00000000-0005-0000-0000-00001C030000}"/>
    <cellStyle name="Normal 6 3 4 3" xfId="791" xr:uid="{00000000-0005-0000-0000-00001D030000}"/>
    <cellStyle name="Normal 6 3 5" xfId="857" xr:uid="{00000000-0005-0000-0000-00001E030000}"/>
    <cellStyle name="Normal 6 3 6" xfId="497" xr:uid="{00000000-0005-0000-0000-00001F030000}"/>
    <cellStyle name="Normal 6 4" xfId="180" xr:uid="{00000000-0005-0000-0000-000020030000}"/>
    <cellStyle name="Normal 6 4 2" xfId="317" xr:uid="{00000000-0005-0000-0000-000021030000}"/>
    <cellStyle name="Normal 6 4 2 2" xfId="1047" xr:uid="{00000000-0005-0000-0000-000022030000}"/>
    <cellStyle name="Normal 6 4 2 3" xfId="687" xr:uid="{00000000-0005-0000-0000-000023030000}"/>
    <cellStyle name="Normal 6 4 3" xfId="432" xr:uid="{00000000-0005-0000-0000-000024030000}"/>
    <cellStyle name="Normal 6 4 3 2" xfId="1171" xr:uid="{00000000-0005-0000-0000-000025030000}"/>
    <cellStyle name="Normal 6 4 3 3" xfId="792" xr:uid="{00000000-0005-0000-0000-000026030000}"/>
    <cellStyle name="Normal 6 4 4" xfId="916" xr:uid="{00000000-0005-0000-0000-000027030000}"/>
    <cellStyle name="Normal 6 4 5" xfId="556" xr:uid="{00000000-0005-0000-0000-000028030000}"/>
    <cellStyle name="Normal 6 5" xfId="145" xr:uid="{00000000-0005-0000-0000-000029030000}"/>
    <cellStyle name="Normal 6 5 2" xfId="282" xr:uid="{00000000-0005-0000-0000-00002A030000}"/>
    <cellStyle name="Normal 6 5 2 2" xfId="1012" xr:uid="{00000000-0005-0000-0000-00002B030000}"/>
    <cellStyle name="Normal 6 5 2 3" xfId="652" xr:uid="{00000000-0005-0000-0000-00002C030000}"/>
    <cellStyle name="Normal 6 5 3" xfId="881" xr:uid="{00000000-0005-0000-0000-00002D030000}"/>
    <cellStyle name="Normal 6 5 4" xfId="521" xr:uid="{00000000-0005-0000-0000-00002E030000}"/>
    <cellStyle name="Normal 6 6" xfId="217" xr:uid="{00000000-0005-0000-0000-00002F030000}"/>
    <cellStyle name="Normal 6 6 2" xfId="348" xr:uid="{00000000-0005-0000-0000-000030030000}"/>
    <cellStyle name="Normal 6 6 2 2" xfId="1078" xr:uid="{00000000-0005-0000-0000-000031030000}"/>
    <cellStyle name="Normal 6 6 2 3" xfId="718" xr:uid="{00000000-0005-0000-0000-000032030000}"/>
    <cellStyle name="Normal 6 6 3" xfId="947" xr:uid="{00000000-0005-0000-0000-000033030000}"/>
    <cellStyle name="Normal 6 6 4" xfId="587" xr:uid="{00000000-0005-0000-0000-000034030000}"/>
    <cellStyle name="Normal 6 7" xfId="243" xr:uid="{00000000-0005-0000-0000-000035030000}"/>
    <cellStyle name="Normal 6 7 2" xfId="973" xr:uid="{00000000-0005-0000-0000-000036030000}"/>
    <cellStyle name="Normal 6 7 3" xfId="613" xr:uid="{00000000-0005-0000-0000-000037030000}"/>
    <cellStyle name="Normal 6 8" xfId="433" xr:uid="{00000000-0005-0000-0000-000038030000}"/>
    <cellStyle name="Normal 6 8 2" xfId="1172" xr:uid="{00000000-0005-0000-0000-000039030000}"/>
    <cellStyle name="Normal 6 8 3" xfId="793" xr:uid="{00000000-0005-0000-0000-00003A030000}"/>
    <cellStyle name="Normal 6 9" xfId="842" xr:uid="{00000000-0005-0000-0000-00003B030000}"/>
    <cellStyle name="Normal 7" xfId="84" xr:uid="{00000000-0005-0000-0000-00003C030000}"/>
    <cellStyle name="Normal 7 2" xfId="182" xr:uid="{00000000-0005-0000-0000-00003D030000}"/>
    <cellStyle name="Normal 7 3" xfId="147" xr:uid="{00000000-0005-0000-0000-00003E030000}"/>
    <cellStyle name="Normal 7 3 2" xfId="284" xr:uid="{00000000-0005-0000-0000-00003F030000}"/>
    <cellStyle name="Normal 7 3 2 2" xfId="1014" xr:uid="{00000000-0005-0000-0000-000040030000}"/>
    <cellStyle name="Normal 7 3 2 3" xfId="654" xr:uid="{00000000-0005-0000-0000-000041030000}"/>
    <cellStyle name="Normal 7 3 3" xfId="883" xr:uid="{00000000-0005-0000-0000-000042030000}"/>
    <cellStyle name="Normal 7 3 4" xfId="523" xr:uid="{00000000-0005-0000-0000-000043030000}"/>
    <cellStyle name="Normal 8" xfId="85" xr:uid="{00000000-0005-0000-0000-000044030000}"/>
    <cellStyle name="Normal 8 2" xfId="183" xr:uid="{00000000-0005-0000-0000-000045030000}"/>
    <cellStyle name="Normal 8 3" xfId="160" xr:uid="{00000000-0005-0000-0000-000046030000}"/>
    <cellStyle name="Normal 8 3 2" xfId="297" xr:uid="{00000000-0005-0000-0000-000047030000}"/>
    <cellStyle name="Normal 8 3 2 2" xfId="1027" xr:uid="{00000000-0005-0000-0000-000048030000}"/>
    <cellStyle name="Normal 8 3 2 3" xfId="667" xr:uid="{00000000-0005-0000-0000-000049030000}"/>
    <cellStyle name="Normal 8 3 3" xfId="896" xr:uid="{00000000-0005-0000-0000-00004A030000}"/>
    <cellStyle name="Normal 8 3 4" xfId="536" xr:uid="{00000000-0005-0000-0000-00004B030000}"/>
    <cellStyle name="Normal 9" xfId="86" xr:uid="{00000000-0005-0000-0000-00004C030000}"/>
    <cellStyle name="Normal 9 2" xfId="184" xr:uid="{00000000-0005-0000-0000-00004D030000}"/>
    <cellStyle name="Normal 9 3" xfId="162" xr:uid="{00000000-0005-0000-0000-00004E030000}"/>
    <cellStyle name="Normal 9 3 2" xfId="299" xr:uid="{00000000-0005-0000-0000-00004F030000}"/>
    <cellStyle name="Normal 9 3 2 2" xfId="1029" xr:uid="{00000000-0005-0000-0000-000050030000}"/>
    <cellStyle name="Normal 9 3 2 3" xfId="669" xr:uid="{00000000-0005-0000-0000-000051030000}"/>
    <cellStyle name="Normal 9 3 3" xfId="898" xr:uid="{00000000-0005-0000-0000-000052030000}"/>
    <cellStyle name="Normal 9 3 4" xfId="538" xr:uid="{00000000-0005-0000-0000-000053030000}"/>
    <cellStyle name="Normale 3" xfId="87" xr:uid="{00000000-0005-0000-0000-000054030000}"/>
    <cellStyle name="Pourcentage" xfId="4" builtinId="5"/>
    <cellStyle name="Pourcentage 2" xfId="7" xr:uid="{00000000-0005-0000-0000-000056030000}"/>
    <cellStyle name="Pourcentage 2 2" xfId="89" xr:uid="{00000000-0005-0000-0000-000057030000}"/>
    <cellStyle name="Pourcentage 2 3" xfId="88" xr:uid="{00000000-0005-0000-0000-000058030000}"/>
    <cellStyle name="Pourcentage 2 4" xfId="366" xr:uid="{00000000-0005-0000-0000-000059030000}"/>
    <cellStyle name="Pourcentage 2 4 2" xfId="1129" xr:uid="{00000000-0005-0000-0000-00005A030000}"/>
    <cellStyle name="Pourcentage 2 4 3" xfId="732" xr:uid="{00000000-0005-0000-0000-00005B030000}"/>
    <cellStyle name="Pourcentage 2 5" xfId="11" xr:uid="{00000000-0005-0000-0000-00005C030000}"/>
    <cellStyle name="Pourcentage 3" xfId="35" xr:uid="{00000000-0005-0000-0000-00005D030000}"/>
    <cellStyle name="Pourcentage 4" xfId="359" xr:uid="{00000000-0005-0000-0000-00005E030000}"/>
    <cellStyle name="Pourcentage 4 2" xfId="1120" xr:uid="{00000000-0005-0000-0000-00005F030000}"/>
    <cellStyle name="Pourcentage 4 3" xfId="729" xr:uid="{00000000-0005-0000-0000-000060030000}"/>
    <cellStyle name="Salida" xfId="90" xr:uid="{00000000-0005-0000-0000-000061030000}"/>
    <cellStyle name="Standaard 2" xfId="91" xr:uid="{00000000-0005-0000-0000-000062030000}"/>
    <cellStyle name="Standaard 2 10" xfId="844" xr:uid="{00000000-0005-0000-0000-000063030000}"/>
    <cellStyle name="Standaard 2 11" xfId="484" xr:uid="{00000000-0005-0000-0000-000064030000}"/>
    <cellStyle name="Standaard 2 12" xfId="1214" xr:uid="{00000000-0005-0000-0000-000065030000}"/>
    <cellStyle name="Standaard 2 2" xfId="92" xr:uid="{00000000-0005-0000-0000-000066030000}"/>
    <cellStyle name="Standaard 2 3" xfId="93" xr:uid="{00000000-0005-0000-0000-000067030000}"/>
    <cellStyle name="Standaard 2 3 10" xfId="1215" xr:uid="{00000000-0005-0000-0000-000068030000}"/>
    <cellStyle name="Standaard 2 3 2" xfId="94" xr:uid="{00000000-0005-0000-0000-000069030000}"/>
    <cellStyle name="Standaard 2 3 2 2" xfId="120" xr:uid="{00000000-0005-0000-0000-00006A030000}"/>
    <cellStyle name="Standaard 2 3 2 2 2" xfId="202" xr:uid="{00000000-0005-0000-0000-00006B030000}"/>
    <cellStyle name="Standaard 2 3 2 2 2 2" xfId="336" xr:uid="{00000000-0005-0000-0000-00006C030000}"/>
    <cellStyle name="Standaard 2 3 2 2 2 2 2" xfId="1066" xr:uid="{00000000-0005-0000-0000-00006D030000}"/>
    <cellStyle name="Standaard 2 3 2 2 2 2 3" xfId="706" xr:uid="{00000000-0005-0000-0000-00006E030000}"/>
    <cellStyle name="Standaard 2 3 2 2 2 3" xfId="434" xr:uid="{00000000-0005-0000-0000-00006F030000}"/>
    <cellStyle name="Standaard 2 3 2 2 2 3 2" xfId="1173" xr:uid="{00000000-0005-0000-0000-000070030000}"/>
    <cellStyle name="Standaard 2 3 2 2 2 3 3" xfId="794" xr:uid="{00000000-0005-0000-0000-000071030000}"/>
    <cellStyle name="Standaard 2 3 2 2 2 4" xfId="935" xr:uid="{00000000-0005-0000-0000-000072030000}"/>
    <cellStyle name="Standaard 2 3 2 2 2 5" xfId="575" xr:uid="{00000000-0005-0000-0000-000073030000}"/>
    <cellStyle name="Standaard 2 3 2 2 3" xfId="262" xr:uid="{00000000-0005-0000-0000-000074030000}"/>
    <cellStyle name="Standaard 2 3 2 2 3 2" xfId="992" xr:uid="{00000000-0005-0000-0000-000075030000}"/>
    <cellStyle name="Standaard 2 3 2 2 3 3" xfId="632" xr:uid="{00000000-0005-0000-0000-000076030000}"/>
    <cellStyle name="Standaard 2 3 2 2 4" xfId="435" xr:uid="{00000000-0005-0000-0000-000077030000}"/>
    <cellStyle name="Standaard 2 3 2 2 4 2" xfId="1174" xr:uid="{00000000-0005-0000-0000-000078030000}"/>
    <cellStyle name="Standaard 2 3 2 2 4 3" xfId="795" xr:uid="{00000000-0005-0000-0000-000079030000}"/>
    <cellStyle name="Standaard 2 3 2 2 5" xfId="861" xr:uid="{00000000-0005-0000-0000-00007A030000}"/>
    <cellStyle name="Standaard 2 3 2 2 6" xfId="501" xr:uid="{00000000-0005-0000-0000-00007B030000}"/>
    <cellStyle name="Standaard 2 3 2 3" xfId="187" xr:uid="{00000000-0005-0000-0000-00007C030000}"/>
    <cellStyle name="Standaard 2 3 2 3 2" xfId="321" xr:uid="{00000000-0005-0000-0000-00007D030000}"/>
    <cellStyle name="Standaard 2 3 2 3 2 2" xfId="1051" xr:uid="{00000000-0005-0000-0000-00007E030000}"/>
    <cellStyle name="Standaard 2 3 2 3 2 3" xfId="691" xr:uid="{00000000-0005-0000-0000-00007F030000}"/>
    <cellStyle name="Standaard 2 3 2 3 3" xfId="436" xr:uid="{00000000-0005-0000-0000-000080030000}"/>
    <cellStyle name="Standaard 2 3 2 3 3 2" xfId="1175" xr:uid="{00000000-0005-0000-0000-000081030000}"/>
    <cellStyle name="Standaard 2 3 2 3 3 3" xfId="796" xr:uid="{00000000-0005-0000-0000-000082030000}"/>
    <cellStyle name="Standaard 2 3 2 3 4" xfId="920" xr:uid="{00000000-0005-0000-0000-000083030000}"/>
    <cellStyle name="Standaard 2 3 2 3 5" xfId="560" xr:uid="{00000000-0005-0000-0000-000084030000}"/>
    <cellStyle name="Standaard 2 3 2 4" xfId="221" xr:uid="{00000000-0005-0000-0000-000085030000}"/>
    <cellStyle name="Standaard 2 3 2 4 2" xfId="352" xr:uid="{00000000-0005-0000-0000-000086030000}"/>
    <cellStyle name="Standaard 2 3 2 4 2 2" xfId="1082" xr:uid="{00000000-0005-0000-0000-000087030000}"/>
    <cellStyle name="Standaard 2 3 2 4 2 3" xfId="722" xr:uid="{00000000-0005-0000-0000-000088030000}"/>
    <cellStyle name="Standaard 2 3 2 4 3" xfId="951" xr:uid="{00000000-0005-0000-0000-000089030000}"/>
    <cellStyle name="Standaard 2 3 2 4 4" xfId="591" xr:uid="{00000000-0005-0000-0000-00008A030000}"/>
    <cellStyle name="Standaard 2 3 2 5" xfId="247" xr:uid="{00000000-0005-0000-0000-00008B030000}"/>
    <cellStyle name="Standaard 2 3 2 5 2" xfId="977" xr:uid="{00000000-0005-0000-0000-00008C030000}"/>
    <cellStyle name="Standaard 2 3 2 5 3" xfId="617" xr:uid="{00000000-0005-0000-0000-00008D030000}"/>
    <cellStyle name="Standaard 2 3 2 6" xfId="437" xr:uid="{00000000-0005-0000-0000-00008E030000}"/>
    <cellStyle name="Standaard 2 3 2 6 2" xfId="1176" xr:uid="{00000000-0005-0000-0000-00008F030000}"/>
    <cellStyle name="Standaard 2 3 2 6 3" xfId="797" xr:uid="{00000000-0005-0000-0000-000090030000}"/>
    <cellStyle name="Standaard 2 3 2 7" xfId="846" xr:uid="{00000000-0005-0000-0000-000091030000}"/>
    <cellStyle name="Standaard 2 3 2 8" xfId="486" xr:uid="{00000000-0005-0000-0000-000092030000}"/>
    <cellStyle name="Standaard 2 3 2 9" xfId="1216" xr:uid="{00000000-0005-0000-0000-000093030000}"/>
    <cellStyle name="Standaard 2 3 3" xfId="119" xr:uid="{00000000-0005-0000-0000-000094030000}"/>
    <cellStyle name="Standaard 2 3 3 2" xfId="201" xr:uid="{00000000-0005-0000-0000-000095030000}"/>
    <cellStyle name="Standaard 2 3 3 2 2" xfId="335" xr:uid="{00000000-0005-0000-0000-000096030000}"/>
    <cellStyle name="Standaard 2 3 3 2 2 2" xfId="1065" xr:uid="{00000000-0005-0000-0000-000097030000}"/>
    <cellStyle name="Standaard 2 3 3 2 2 3" xfId="705" xr:uid="{00000000-0005-0000-0000-000098030000}"/>
    <cellStyle name="Standaard 2 3 3 2 3" xfId="438" xr:uid="{00000000-0005-0000-0000-000099030000}"/>
    <cellStyle name="Standaard 2 3 3 2 3 2" xfId="1177" xr:uid="{00000000-0005-0000-0000-00009A030000}"/>
    <cellStyle name="Standaard 2 3 3 2 3 3" xfId="798" xr:uid="{00000000-0005-0000-0000-00009B030000}"/>
    <cellStyle name="Standaard 2 3 3 2 4" xfId="934" xr:uid="{00000000-0005-0000-0000-00009C030000}"/>
    <cellStyle name="Standaard 2 3 3 2 5" xfId="574" xr:uid="{00000000-0005-0000-0000-00009D030000}"/>
    <cellStyle name="Standaard 2 3 3 3" xfId="261" xr:uid="{00000000-0005-0000-0000-00009E030000}"/>
    <cellStyle name="Standaard 2 3 3 3 2" xfId="991" xr:uid="{00000000-0005-0000-0000-00009F030000}"/>
    <cellStyle name="Standaard 2 3 3 3 3" xfId="631" xr:uid="{00000000-0005-0000-0000-0000A0030000}"/>
    <cellStyle name="Standaard 2 3 3 4" xfId="439" xr:uid="{00000000-0005-0000-0000-0000A1030000}"/>
    <cellStyle name="Standaard 2 3 3 4 2" xfId="1178" xr:uid="{00000000-0005-0000-0000-0000A2030000}"/>
    <cellStyle name="Standaard 2 3 3 4 3" xfId="799" xr:uid="{00000000-0005-0000-0000-0000A3030000}"/>
    <cellStyle name="Standaard 2 3 3 5" xfId="860" xr:uid="{00000000-0005-0000-0000-0000A4030000}"/>
    <cellStyle name="Standaard 2 3 3 6" xfId="500" xr:uid="{00000000-0005-0000-0000-0000A5030000}"/>
    <cellStyle name="Standaard 2 3 4" xfId="186" xr:uid="{00000000-0005-0000-0000-0000A6030000}"/>
    <cellStyle name="Standaard 2 3 4 2" xfId="320" xr:uid="{00000000-0005-0000-0000-0000A7030000}"/>
    <cellStyle name="Standaard 2 3 4 2 2" xfId="1050" xr:uid="{00000000-0005-0000-0000-0000A8030000}"/>
    <cellStyle name="Standaard 2 3 4 2 3" xfId="690" xr:uid="{00000000-0005-0000-0000-0000A9030000}"/>
    <cellStyle name="Standaard 2 3 4 3" xfId="440" xr:uid="{00000000-0005-0000-0000-0000AA030000}"/>
    <cellStyle name="Standaard 2 3 4 3 2" xfId="1179" xr:uid="{00000000-0005-0000-0000-0000AB030000}"/>
    <cellStyle name="Standaard 2 3 4 3 3" xfId="800" xr:uid="{00000000-0005-0000-0000-0000AC030000}"/>
    <cellStyle name="Standaard 2 3 4 4" xfId="919" xr:uid="{00000000-0005-0000-0000-0000AD030000}"/>
    <cellStyle name="Standaard 2 3 4 5" xfId="559" xr:uid="{00000000-0005-0000-0000-0000AE030000}"/>
    <cellStyle name="Standaard 2 3 5" xfId="220" xr:uid="{00000000-0005-0000-0000-0000AF030000}"/>
    <cellStyle name="Standaard 2 3 5 2" xfId="351" xr:uid="{00000000-0005-0000-0000-0000B0030000}"/>
    <cellStyle name="Standaard 2 3 5 2 2" xfId="1081" xr:uid="{00000000-0005-0000-0000-0000B1030000}"/>
    <cellStyle name="Standaard 2 3 5 2 3" xfId="721" xr:uid="{00000000-0005-0000-0000-0000B2030000}"/>
    <cellStyle name="Standaard 2 3 5 3" xfId="950" xr:uid="{00000000-0005-0000-0000-0000B3030000}"/>
    <cellStyle name="Standaard 2 3 5 4" xfId="590" xr:uid="{00000000-0005-0000-0000-0000B4030000}"/>
    <cellStyle name="Standaard 2 3 6" xfId="246" xr:uid="{00000000-0005-0000-0000-0000B5030000}"/>
    <cellStyle name="Standaard 2 3 6 2" xfId="976" xr:uid="{00000000-0005-0000-0000-0000B6030000}"/>
    <cellStyle name="Standaard 2 3 6 3" xfId="616" xr:uid="{00000000-0005-0000-0000-0000B7030000}"/>
    <cellStyle name="Standaard 2 3 7" xfId="441" xr:uid="{00000000-0005-0000-0000-0000B8030000}"/>
    <cellStyle name="Standaard 2 3 7 2" xfId="1180" xr:uid="{00000000-0005-0000-0000-0000B9030000}"/>
    <cellStyle name="Standaard 2 3 7 3" xfId="801" xr:uid="{00000000-0005-0000-0000-0000BA030000}"/>
    <cellStyle name="Standaard 2 3 8" xfId="845" xr:uid="{00000000-0005-0000-0000-0000BB030000}"/>
    <cellStyle name="Standaard 2 3 9" xfId="485" xr:uid="{00000000-0005-0000-0000-0000BC030000}"/>
    <cellStyle name="Standaard 2 4" xfId="95" xr:uid="{00000000-0005-0000-0000-0000BD030000}"/>
    <cellStyle name="Standaard 2 4 2" xfId="121" xr:uid="{00000000-0005-0000-0000-0000BE030000}"/>
    <cellStyle name="Standaard 2 4 2 2" xfId="203" xr:uid="{00000000-0005-0000-0000-0000BF030000}"/>
    <cellStyle name="Standaard 2 4 2 2 2" xfId="337" xr:uid="{00000000-0005-0000-0000-0000C0030000}"/>
    <cellStyle name="Standaard 2 4 2 2 2 2" xfId="1067" xr:uid="{00000000-0005-0000-0000-0000C1030000}"/>
    <cellStyle name="Standaard 2 4 2 2 2 3" xfId="707" xr:uid="{00000000-0005-0000-0000-0000C2030000}"/>
    <cellStyle name="Standaard 2 4 2 2 3" xfId="442" xr:uid="{00000000-0005-0000-0000-0000C3030000}"/>
    <cellStyle name="Standaard 2 4 2 2 3 2" xfId="1181" xr:uid="{00000000-0005-0000-0000-0000C4030000}"/>
    <cellStyle name="Standaard 2 4 2 2 3 3" xfId="802" xr:uid="{00000000-0005-0000-0000-0000C5030000}"/>
    <cellStyle name="Standaard 2 4 2 2 4" xfId="936" xr:uid="{00000000-0005-0000-0000-0000C6030000}"/>
    <cellStyle name="Standaard 2 4 2 2 5" xfId="576" xr:uid="{00000000-0005-0000-0000-0000C7030000}"/>
    <cellStyle name="Standaard 2 4 2 3" xfId="263" xr:uid="{00000000-0005-0000-0000-0000C8030000}"/>
    <cellStyle name="Standaard 2 4 2 3 2" xfId="993" xr:uid="{00000000-0005-0000-0000-0000C9030000}"/>
    <cellStyle name="Standaard 2 4 2 3 3" xfId="633" xr:uid="{00000000-0005-0000-0000-0000CA030000}"/>
    <cellStyle name="Standaard 2 4 2 4" xfId="443" xr:uid="{00000000-0005-0000-0000-0000CB030000}"/>
    <cellStyle name="Standaard 2 4 2 4 2" xfId="1182" xr:uid="{00000000-0005-0000-0000-0000CC030000}"/>
    <cellStyle name="Standaard 2 4 2 4 3" xfId="803" xr:uid="{00000000-0005-0000-0000-0000CD030000}"/>
    <cellStyle name="Standaard 2 4 2 5" xfId="862" xr:uid="{00000000-0005-0000-0000-0000CE030000}"/>
    <cellStyle name="Standaard 2 4 2 6" xfId="502" xr:uid="{00000000-0005-0000-0000-0000CF030000}"/>
    <cellStyle name="Standaard 2 4 3" xfId="188" xr:uid="{00000000-0005-0000-0000-0000D0030000}"/>
    <cellStyle name="Standaard 2 4 3 2" xfId="322" xr:uid="{00000000-0005-0000-0000-0000D1030000}"/>
    <cellStyle name="Standaard 2 4 3 2 2" xfId="1052" xr:uid="{00000000-0005-0000-0000-0000D2030000}"/>
    <cellStyle name="Standaard 2 4 3 2 3" xfId="692" xr:uid="{00000000-0005-0000-0000-0000D3030000}"/>
    <cellStyle name="Standaard 2 4 3 3" xfId="444" xr:uid="{00000000-0005-0000-0000-0000D4030000}"/>
    <cellStyle name="Standaard 2 4 3 3 2" xfId="1183" xr:uid="{00000000-0005-0000-0000-0000D5030000}"/>
    <cellStyle name="Standaard 2 4 3 3 3" xfId="804" xr:uid="{00000000-0005-0000-0000-0000D6030000}"/>
    <cellStyle name="Standaard 2 4 3 4" xfId="921" xr:uid="{00000000-0005-0000-0000-0000D7030000}"/>
    <cellStyle name="Standaard 2 4 3 5" xfId="561" xr:uid="{00000000-0005-0000-0000-0000D8030000}"/>
    <cellStyle name="Standaard 2 4 4" xfId="222" xr:uid="{00000000-0005-0000-0000-0000D9030000}"/>
    <cellStyle name="Standaard 2 4 4 2" xfId="353" xr:uid="{00000000-0005-0000-0000-0000DA030000}"/>
    <cellStyle name="Standaard 2 4 4 2 2" xfId="1083" xr:uid="{00000000-0005-0000-0000-0000DB030000}"/>
    <cellStyle name="Standaard 2 4 4 2 3" xfId="723" xr:uid="{00000000-0005-0000-0000-0000DC030000}"/>
    <cellStyle name="Standaard 2 4 4 3" xfId="952" xr:uid="{00000000-0005-0000-0000-0000DD030000}"/>
    <cellStyle name="Standaard 2 4 4 4" xfId="592" xr:uid="{00000000-0005-0000-0000-0000DE030000}"/>
    <cellStyle name="Standaard 2 4 5" xfId="248" xr:uid="{00000000-0005-0000-0000-0000DF030000}"/>
    <cellStyle name="Standaard 2 4 5 2" xfId="978" xr:uid="{00000000-0005-0000-0000-0000E0030000}"/>
    <cellStyle name="Standaard 2 4 5 3" xfId="618" xr:uid="{00000000-0005-0000-0000-0000E1030000}"/>
    <cellStyle name="Standaard 2 4 6" xfId="445" xr:uid="{00000000-0005-0000-0000-0000E2030000}"/>
    <cellStyle name="Standaard 2 4 6 2" xfId="1184" xr:uid="{00000000-0005-0000-0000-0000E3030000}"/>
    <cellStyle name="Standaard 2 4 6 3" xfId="805" xr:uid="{00000000-0005-0000-0000-0000E4030000}"/>
    <cellStyle name="Standaard 2 4 7" xfId="847" xr:uid="{00000000-0005-0000-0000-0000E5030000}"/>
    <cellStyle name="Standaard 2 4 8" xfId="487" xr:uid="{00000000-0005-0000-0000-0000E6030000}"/>
    <cellStyle name="Standaard 2 4 9" xfId="1217" xr:uid="{00000000-0005-0000-0000-0000E7030000}"/>
    <cellStyle name="Standaard 2 5" xfId="118" xr:uid="{00000000-0005-0000-0000-0000E8030000}"/>
    <cellStyle name="Standaard 2 5 2" xfId="200" xr:uid="{00000000-0005-0000-0000-0000E9030000}"/>
    <cellStyle name="Standaard 2 5 2 2" xfId="334" xr:uid="{00000000-0005-0000-0000-0000EA030000}"/>
    <cellStyle name="Standaard 2 5 2 2 2" xfId="1064" xr:uid="{00000000-0005-0000-0000-0000EB030000}"/>
    <cellStyle name="Standaard 2 5 2 2 3" xfId="704" xr:uid="{00000000-0005-0000-0000-0000EC030000}"/>
    <cellStyle name="Standaard 2 5 2 3" xfId="446" xr:uid="{00000000-0005-0000-0000-0000ED030000}"/>
    <cellStyle name="Standaard 2 5 2 3 2" xfId="1185" xr:uid="{00000000-0005-0000-0000-0000EE030000}"/>
    <cellStyle name="Standaard 2 5 2 3 3" xfId="806" xr:uid="{00000000-0005-0000-0000-0000EF030000}"/>
    <cellStyle name="Standaard 2 5 2 4" xfId="933" xr:uid="{00000000-0005-0000-0000-0000F0030000}"/>
    <cellStyle name="Standaard 2 5 2 5" xfId="573" xr:uid="{00000000-0005-0000-0000-0000F1030000}"/>
    <cellStyle name="Standaard 2 5 3" xfId="260" xr:uid="{00000000-0005-0000-0000-0000F2030000}"/>
    <cellStyle name="Standaard 2 5 3 2" xfId="990" xr:uid="{00000000-0005-0000-0000-0000F3030000}"/>
    <cellStyle name="Standaard 2 5 3 3" xfId="630" xr:uid="{00000000-0005-0000-0000-0000F4030000}"/>
    <cellStyle name="Standaard 2 5 4" xfId="447" xr:uid="{00000000-0005-0000-0000-0000F5030000}"/>
    <cellStyle name="Standaard 2 5 4 2" xfId="1186" xr:uid="{00000000-0005-0000-0000-0000F6030000}"/>
    <cellStyle name="Standaard 2 5 4 3" xfId="807" xr:uid="{00000000-0005-0000-0000-0000F7030000}"/>
    <cellStyle name="Standaard 2 5 5" xfId="859" xr:uid="{00000000-0005-0000-0000-0000F8030000}"/>
    <cellStyle name="Standaard 2 5 6" xfId="499" xr:uid="{00000000-0005-0000-0000-0000F9030000}"/>
    <cellStyle name="Standaard 2 6" xfId="185" xr:uid="{00000000-0005-0000-0000-0000FA030000}"/>
    <cellStyle name="Standaard 2 6 2" xfId="319" xr:uid="{00000000-0005-0000-0000-0000FB030000}"/>
    <cellStyle name="Standaard 2 6 2 2" xfId="1049" xr:uid="{00000000-0005-0000-0000-0000FC030000}"/>
    <cellStyle name="Standaard 2 6 2 3" xfId="689" xr:uid="{00000000-0005-0000-0000-0000FD030000}"/>
    <cellStyle name="Standaard 2 6 3" xfId="448" xr:uid="{00000000-0005-0000-0000-0000FE030000}"/>
    <cellStyle name="Standaard 2 6 3 2" xfId="1187" xr:uid="{00000000-0005-0000-0000-0000FF030000}"/>
    <cellStyle name="Standaard 2 6 3 3" xfId="808" xr:uid="{00000000-0005-0000-0000-000000040000}"/>
    <cellStyle name="Standaard 2 6 4" xfId="918" xr:uid="{00000000-0005-0000-0000-000001040000}"/>
    <cellStyle name="Standaard 2 6 5" xfId="558" xr:uid="{00000000-0005-0000-0000-000002040000}"/>
    <cellStyle name="Standaard 2 7" xfId="219" xr:uid="{00000000-0005-0000-0000-000003040000}"/>
    <cellStyle name="Standaard 2 7 2" xfId="350" xr:uid="{00000000-0005-0000-0000-000004040000}"/>
    <cellStyle name="Standaard 2 7 2 2" xfId="1080" xr:uid="{00000000-0005-0000-0000-000005040000}"/>
    <cellStyle name="Standaard 2 7 2 3" xfId="720" xr:uid="{00000000-0005-0000-0000-000006040000}"/>
    <cellStyle name="Standaard 2 7 3" xfId="949" xr:uid="{00000000-0005-0000-0000-000007040000}"/>
    <cellStyle name="Standaard 2 7 4" xfId="589" xr:uid="{00000000-0005-0000-0000-000008040000}"/>
    <cellStyle name="Standaard 2 8" xfId="245" xr:uid="{00000000-0005-0000-0000-000009040000}"/>
    <cellStyle name="Standaard 2 8 2" xfId="975" xr:uid="{00000000-0005-0000-0000-00000A040000}"/>
    <cellStyle name="Standaard 2 8 3" xfId="615" xr:uid="{00000000-0005-0000-0000-00000B040000}"/>
    <cellStyle name="Standaard 2 9" xfId="449" xr:uid="{00000000-0005-0000-0000-00000C040000}"/>
    <cellStyle name="Standaard 2 9 2" xfId="1188" xr:uid="{00000000-0005-0000-0000-00000D040000}"/>
    <cellStyle name="Standaard 2 9 3" xfId="809" xr:uid="{00000000-0005-0000-0000-00000E040000}"/>
    <cellStyle name="Standaard 3" xfId="96" xr:uid="{00000000-0005-0000-0000-00000F040000}"/>
    <cellStyle name="Standaard 4" xfId="97" xr:uid="{00000000-0005-0000-0000-000010040000}"/>
    <cellStyle name="Standaard 4 10" xfId="488" xr:uid="{00000000-0005-0000-0000-000011040000}"/>
    <cellStyle name="Standaard 4 11" xfId="1218" xr:uid="{00000000-0005-0000-0000-000012040000}"/>
    <cellStyle name="Standaard 4 2" xfId="98" xr:uid="{00000000-0005-0000-0000-000013040000}"/>
    <cellStyle name="Standaard 4 2 10" xfId="1219" xr:uid="{00000000-0005-0000-0000-000014040000}"/>
    <cellStyle name="Standaard 4 2 2" xfId="99" xr:uid="{00000000-0005-0000-0000-000015040000}"/>
    <cellStyle name="Standaard 4 2 2 2" xfId="124" xr:uid="{00000000-0005-0000-0000-000016040000}"/>
    <cellStyle name="Standaard 4 2 2 2 2" xfId="206" xr:uid="{00000000-0005-0000-0000-000017040000}"/>
    <cellStyle name="Standaard 4 2 2 2 2 2" xfId="340" xr:uid="{00000000-0005-0000-0000-000018040000}"/>
    <cellStyle name="Standaard 4 2 2 2 2 2 2" xfId="1070" xr:uid="{00000000-0005-0000-0000-000019040000}"/>
    <cellStyle name="Standaard 4 2 2 2 2 2 3" xfId="710" xr:uid="{00000000-0005-0000-0000-00001A040000}"/>
    <cellStyle name="Standaard 4 2 2 2 2 3" xfId="450" xr:uid="{00000000-0005-0000-0000-00001B040000}"/>
    <cellStyle name="Standaard 4 2 2 2 2 3 2" xfId="1189" xr:uid="{00000000-0005-0000-0000-00001C040000}"/>
    <cellStyle name="Standaard 4 2 2 2 2 3 3" xfId="810" xr:uid="{00000000-0005-0000-0000-00001D040000}"/>
    <cellStyle name="Standaard 4 2 2 2 2 4" xfId="939" xr:uid="{00000000-0005-0000-0000-00001E040000}"/>
    <cellStyle name="Standaard 4 2 2 2 2 5" xfId="579" xr:uid="{00000000-0005-0000-0000-00001F040000}"/>
    <cellStyle name="Standaard 4 2 2 2 3" xfId="266" xr:uid="{00000000-0005-0000-0000-000020040000}"/>
    <cellStyle name="Standaard 4 2 2 2 3 2" xfId="996" xr:uid="{00000000-0005-0000-0000-000021040000}"/>
    <cellStyle name="Standaard 4 2 2 2 3 3" xfId="636" xr:uid="{00000000-0005-0000-0000-000022040000}"/>
    <cellStyle name="Standaard 4 2 2 2 4" xfId="451" xr:uid="{00000000-0005-0000-0000-000023040000}"/>
    <cellStyle name="Standaard 4 2 2 2 4 2" xfId="1190" xr:uid="{00000000-0005-0000-0000-000024040000}"/>
    <cellStyle name="Standaard 4 2 2 2 4 3" xfId="811" xr:uid="{00000000-0005-0000-0000-000025040000}"/>
    <cellStyle name="Standaard 4 2 2 2 5" xfId="865" xr:uid="{00000000-0005-0000-0000-000026040000}"/>
    <cellStyle name="Standaard 4 2 2 2 6" xfId="505" xr:uid="{00000000-0005-0000-0000-000027040000}"/>
    <cellStyle name="Standaard 4 2 2 3" xfId="191" xr:uid="{00000000-0005-0000-0000-000028040000}"/>
    <cellStyle name="Standaard 4 2 2 3 2" xfId="325" xr:uid="{00000000-0005-0000-0000-000029040000}"/>
    <cellStyle name="Standaard 4 2 2 3 2 2" xfId="1055" xr:uid="{00000000-0005-0000-0000-00002A040000}"/>
    <cellStyle name="Standaard 4 2 2 3 2 3" xfId="695" xr:uid="{00000000-0005-0000-0000-00002B040000}"/>
    <cellStyle name="Standaard 4 2 2 3 3" xfId="452" xr:uid="{00000000-0005-0000-0000-00002C040000}"/>
    <cellStyle name="Standaard 4 2 2 3 3 2" xfId="1191" xr:uid="{00000000-0005-0000-0000-00002D040000}"/>
    <cellStyle name="Standaard 4 2 2 3 3 3" xfId="812" xr:uid="{00000000-0005-0000-0000-00002E040000}"/>
    <cellStyle name="Standaard 4 2 2 3 4" xfId="924" xr:uid="{00000000-0005-0000-0000-00002F040000}"/>
    <cellStyle name="Standaard 4 2 2 3 5" xfId="564" xr:uid="{00000000-0005-0000-0000-000030040000}"/>
    <cellStyle name="Standaard 4 2 2 4" xfId="225" xr:uid="{00000000-0005-0000-0000-000031040000}"/>
    <cellStyle name="Standaard 4 2 2 4 2" xfId="356" xr:uid="{00000000-0005-0000-0000-000032040000}"/>
    <cellStyle name="Standaard 4 2 2 4 2 2" xfId="1086" xr:uid="{00000000-0005-0000-0000-000033040000}"/>
    <cellStyle name="Standaard 4 2 2 4 2 3" xfId="726" xr:uid="{00000000-0005-0000-0000-000034040000}"/>
    <cellStyle name="Standaard 4 2 2 4 3" xfId="955" xr:uid="{00000000-0005-0000-0000-000035040000}"/>
    <cellStyle name="Standaard 4 2 2 4 4" xfId="595" xr:uid="{00000000-0005-0000-0000-000036040000}"/>
    <cellStyle name="Standaard 4 2 2 5" xfId="251" xr:uid="{00000000-0005-0000-0000-000037040000}"/>
    <cellStyle name="Standaard 4 2 2 5 2" xfId="981" xr:uid="{00000000-0005-0000-0000-000038040000}"/>
    <cellStyle name="Standaard 4 2 2 5 3" xfId="621" xr:uid="{00000000-0005-0000-0000-000039040000}"/>
    <cellStyle name="Standaard 4 2 2 6" xfId="453" xr:uid="{00000000-0005-0000-0000-00003A040000}"/>
    <cellStyle name="Standaard 4 2 2 6 2" xfId="1192" xr:uid="{00000000-0005-0000-0000-00003B040000}"/>
    <cellStyle name="Standaard 4 2 2 6 3" xfId="813" xr:uid="{00000000-0005-0000-0000-00003C040000}"/>
    <cellStyle name="Standaard 4 2 2 7" xfId="850" xr:uid="{00000000-0005-0000-0000-00003D040000}"/>
    <cellStyle name="Standaard 4 2 2 8" xfId="490" xr:uid="{00000000-0005-0000-0000-00003E040000}"/>
    <cellStyle name="Standaard 4 2 2 9" xfId="1220" xr:uid="{00000000-0005-0000-0000-00003F040000}"/>
    <cellStyle name="Standaard 4 2 3" xfId="123" xr:uid="{00000000-0005-0000-0000-000040040000}"/>
    <cellStyle name="Standaard 4 2 3 2" xfId="205" xr:uid="{00000000-0005-0000-0000-000041040000}"/>
    <cellStyle name="Standaard 4 2 3 2 2" xfId="339" xr:uid="{00000000-0005-0000-0000-000042040000}"/>
    <cellStyle name="Standaard 4 2 3 2 2 2" xfId="1069" xr:uid="{00000000-0005-0000-0000-000043040000}"/>
    <cellStyle name="Standaard 4 2 3 2 2 3" xfId="709" xr:uid="{00000000-0005-0000-0000-000044040000}"/>
    <cellStyle name="Standaard 4 2 3 2 3" xfId="454" xr:uid="{00000000-0005-0000-0000-000045040000}"/>
    <cellStyle name="Standaard 4 2 3 2 3 2" xfId="1193" xr:uid="{00000000-0005-0000-0000-000046040000}"/>
    <cellStyle name="Standaard 4 2 3 2 3 3" xfId="814" xr:uid="{00000000-0005-0000-0000-000047040000}"/>
    <cellStyle name="Standaard 4 2 3 2 4" xfId="938" xr:uid="{00000000-0005-0000-0000-000048040000}"/>
    <cellStyle name="Standaard 4 2 3 2 5" xfId="578" xr:uid="{00000000-0005-0000-0000-000049040000}"/>
    <cellStyle name="Standaard 4 2 3 3" xfId="265" xr:uid="{00000000-0005-0000-0000-00004A040000}"/>
    <cellStyle name="Standaard 4 2 3 3 2" xfId="995" xr:uid="{00000000-0005-0000-0000-00004B040000}"/>
    <cellStyle name="Standaard 4 2 3 3 3" xfId="635" xr:uid="{00000000-0005-0000-0000-00004C040000}"/>
    <cellStyle name="Standaard 4 2 3 4" xfId="455" xr:uid="{00000000-0005-0000-0000-00004D040000}"/>
    <cellStyle name="Standaard 4 2 3 4 2" xfId="1194" xr:uid="{00000000-0005-0000-0000-00004E040000}"/>
    <cellStyle name="Standaard 4 2 3 4 3" xfId="815" xr:uid="{00000000-0005-0000-0000-00004F040000}"/>
    <cellStyle name="Standaard 4 2 3 5" xfId="864" xr:uid="{00000000-0005-0000-0000-000050040000}"/>
    <cellStyle name="Standaard 4 2 3 6" xfId="504" xr:uid="{00000000-0005-0000-0000-000051040000}"/>
    <cellStyle name="Standaard 4 2 4" xfId="190" xr:uid="{00000000-0005-0000-0000-000052040000}"/>
    <cellStyle name="Standaard 4 2 4 2" xfId="324" xr:uid="{00000000-0005-0000-0000-000053040000}"/>
    <cellStyle name="Standaard 4 2 4 2 2" xfId="1054" xr:uid="{00000000-0005-0000-0000-000054040000}"/>
    <cellStyle name="Standaard 4 2 4 2 3" xfId="694" xr:uid="{00000000-0005-0000-0000-000055040000}"/>
    <cellStyle name="Standaard 4 2 4 3" xfId="456" xr:uid="{00000000-0005-0000-0000-000056040000}"/>
    <cellStyle name="Standaard 4 2 4 3 2" xfId="1195" xr:uid="{00000000-0005-0000-0000-000057040000}"/>
    <cellStyle name="Standaard 4 2 4 3 3" xfId="816" xr:uid="{00000000-0005-0000-0000-000058040000}"/>
    <cellStyle name="Standaard 4 2 4 4" xfId="923" xr:uid="{00000000-0005-0000-0000-000059040000}"/>
    <cellStyle name="Standaard 4 2 4 5" xfId="563" xr:uid="{00000000-0005-0000-0000-00005A040000}"/>
    <cellStyle name="Standaard 4 2 5" xfId="224" xr:uid="{00000000-0005-0000-0000-00005B040000}"/>
    <cellStyle name="Standaard 4 2 5 2" xfId="355" xr:uid="{00000000-0005-0000-0000-00005C040000}"/>
    <cellStyle name="Standaard 4 2 5 2 2" xfId="1085" xr:uid="{00000000-0005-0000-0000-00005D040000}"/>
    <cellStyle name="Standaard 4 2 5 2 3" xfId="725" xr:uid="{00000000-0005-0000-0000-00005E040000}"/>
    <cellStyle name="Standaard 4 2 5 3" xfId="954" xr:uid="{00000000-0005-0000-0000-00005F040000}"/>
    <cellStyle name="Standaard 4 2 5 4" xfId="594" xr:uid="{00000000-0005-0000-0000-000060040000}"/>
    <cellStyle name="Standaard 4 2 6" xfId="250" xr:uid="{00000000-0005-0000-0000-000061040000}"/>
    <cellStyle name="Standaard 4 2 6 2" xfId="980" xr:uid="{00000000-0005-0000-0000-000062040000}"/>
    <cellStyle name="Standaard 4 2 6 3" xfId="620" xr:uid="{00000000-0005-0000-0000-000063040000}"/>
    <cellStyle name="Standaard 4 2 7" xfId="457" xr:uid="{00000000-0005-0000-0000-000064040000}"/>
    <cellStyle name="Standaard 4 2 7 2" xfId="1196" xr:uid="{00000000-0005-0000-0000-000065040000}"/>
    <cellStyle name="Standaard 4 2 7 3" xfId="817" xr:uid="{00000000-0005-0000-0000-000066040000}"/>
    <cellStyle name="Standaard 4 2 8" xfId="849" xr:uid="{00000000-0005-0000-0000-000067040000}"/>
    <cellStyle name="Standaard 4 2 9" xfId="489" xr:uid="{00000000-0005-0000-0000-000068040000}"/>
    <cellStyle name="Standaard 4 3" xfId="100" xr:uid="{00000000-0005-0000-0000-000069040000}"/>
    <cellStyle name="Standaard 4 3 2" xfId="125" xr:uid="{00000000-0005-0000-0000-00006A040000}"/>
    <cellStyle name="Standaard 4 3 2 2" xfId="207" xr:uid="{00000000-0005-0000-0000-00006B040000}"/>
    <cellStyle name="Standaard 4 3 2 2 2" xfId="341" xr:uid="{00000000-0005-0000-0000-00006C040000}"/>
    <cellStyle name="Standaard 4 3 2 2 2 2" xfId="1071" xr:uid="{00000000-0005-0000-0000-00006D040000}"/>
    <cellStyle name="Standaard 4 3 2 2 2 3" xfId="711" xr:uid="{00000000-0005-0000-0000-00006E040000}"/>
    <cellStyle name="Standaard 4 3 2 2 3" xfId="458" xr:uid="{00000000-0005-0000-0000-00006F040000}"/>
    <cellStyle name="Standaard 4 3 2 2 3 2" xfId="1197" xr:uid="{00000000-0005-0000-0000-000070040000}"/>
    <cellStyle name="Standaard 4 3 2 2 3 3" xfId="818" xr:uid="{00000000-0005-0000-0000-000071040000}"/>
    <cellStyle name="Standaard 4 3 2 2 4" xfId="940" xr:uid="{00000000-0005-0000-0000-000072040000}"/>
    <cellStyle name="Standaard 4 3 2 2 5" xfId="580" xr:uid="{00000000-0005-0000-0000-000073040000}"/>
    <cellStyle name="Standaard 4 3 2 3" xfId="267" xr:uid="{00000000-0005-0000-0000-000074040000}"/>
    <cellStyle name="Standaard 4 3 2 3 2" xfId="997" xr:uid="{00000000-0005-0000-0000-000075040000}"/>
    <cellStyle name="Standaard 4 3 2 3 3" xfId="637" xr:uid="{00000000-0005-0000-0000-000076040000}"/>
    <cellStyle name="Standaard 4 3 2 4" xfId="459" xr:uid="{00000000-0005-0000-0000-000077040000}"/>
    <cellStyle name="Standaard 4 3 2 4 2" xfId="1198" xr:uid="{00000000-0005-0000-0000-000078040000}"/>
    <cellStyle name="Standaard 4 3 2 4 3" xfId="819" xr:uid="{00000000-0005-0000-0000-000079040000}"/>
    <cellStyle name="Standaard 4 3 2 5" xfId="866" xr:uid="{00000000-0005-0000-0000-00007A040000}"/>
    <cellStyle name="Standaard 4 3 2 6" xfId="506" xr:uid="{00000000-0005-0000-0000-00007B040000}"/>
    <cellStyle name="Standaard 4 3 3" xfId="192" xr:uid="{00000000-0005-0000-0000-00007C040000}"/>
    <cellStyle name="Standaard 4 3 3 2" xfId="326" xr:uid="{00000000-0005-0000-0000-00007D040000}"/>
    <cellStyle name="Standaard 4 3 3 2 2" xfId="1056" xr:uid="{00000000-0005-0000-0000-00007E040000}"/>
    <cellStyle name="Standaard 4 3 3 2 3" xfId="696" xr:uid="{00000000-0005-0000-0000-00007F040000}"/>
    <cellStyle name="Standaard 4 3 3 3" xfId="460" xr:uid="{00000000-0005-0000-0000-000080040000}"/>
    <cellStyle name="Standaard 4 3 3 3 2" xfId="1199" xr:uid="{00000000-0005-0000-0000-000081040000}"/>
    <cellStyle name="Standaard 4 3 3 3 3" xfId="820" xr:uid="{00000000-0005-0000-0000-000082040000}"/>
    <cellStyle name="Standaard 4 3 3 4" xfId="925" xr:uid="{00000000-0005-0000-0000-000083040000}"/>
    <cellStyle name="Standaard 4 3 3 5" xfId="565" xr:uid="{00000000-0005-0000-0000-000084040000}"/>
    <cellStyle name="Standaard 4 3 4" xfId="226" xr:uid="{00000000-0005-0000-0000-000085040000}"/>
    <cellStyle name="Standaard 4 3 4 2" xfId="357" xr:uid="{00000000-0005-0000-0000-000086040000}"/>
    <cellStyle name="Standaard 4 3 4 2 2" xfId="1087" xr:uid="{00000000-0005-0000-0000-000087040000}"/>
    <cellStyle name="Standaard 4 3 4 2 3" xfId="727" xr:uid="{00000000-0005-0000-0000-000088040000}"/>
    <cellStyle name="Standaard 4 3 4 3" xfId="956" xr:uid="{00000000-0005-0000-0000-000089040000}"/>
    <cellStyle name="Standaard 4 3 4 4" xfId="596" xr:uid="{00000000-0005-0000-0000-00008A040000}"/>
    <cellStyle name="Standaard 4 3 5" xfId="252" xr:uid="{00000000-0005-0000-0000-00008B040000}"/>
    <cellStyle name="Standaard 4 3 5 2" xfId="982" xr:uid="{00000000-0005-0000-0000-00008C040000}"/>
    <cellStyle name="Standaard 4 3 5 3" xfId="622" xr:uid="{00000000-0005-0000-0000-00008D040000}"/>
    <cellStyle name="Standaard 4 3 6" xfId="461" xr:uid="{00000000-0005-0000-0000-00008E040000}"/>
    <cellStyle name="Standaard 4 3 6 2" xfId="1200" xr:uid="{00000000-0005-0000-0000-00008F040000}"/>
    <cellStyle name="Standaard 4 3 6 3" xfId="821" xr:uid="{00000000-0005-0000-0000-000090040000}"/>
    <cellStyle name="Standaard 4 3 7" xfId="851" xr:uid="{00000000-0005-0000-0000-000091040000}"/>
    <cellStyle name="Standaard 4 3 8" xfId="491" xr:uid="{00000000-0005-0000-0000-000092040000}"/>
    <cellStyle name="Standaard 4 3 9" xfId="1221" xr:uid="{00000000-0005-0000-0000-000093040000}"/>
    <cellStyle name="Standaard 4 4" xfId="122" xr:uid="{00000000-0005-0000-0000-000094040000}"/>
    <cellStyle name="Standaard 4 4 2" xfId="204" xr:uid="{00000000-0005-0000-0000-000095040000}"/>
    <cellStyle name="Standaard 4 4 2 2" xfId="338" xr:uid="{00000000-0005-0000-0000-000096040000}"/>
    <cellStyle name="Standaard 4 4 2 2 2" xfId="1068" xr:uid="{00000000-0005-0000-0000-000097040000}"/>
    <cellStyle name="Standaard 4 4 2 2 3" xfId="708" xr:uid="{00000000-0005-0000-0000-000098040000}"/>
    <cellStyle name="Standaard 4 4 2 3" xfId="462" xr:uid="{00000000-0005-0000-0000-000099040000}"/>
    <cellStyle name="Standaard 4 4 2 3 2" xfId="1201" xr:uid="{00000000-0005-0000-0000-00009A040000}"/>
    <cellStyle name="Standaard 4 4 2 3 3" xfId="822" xr:uid="{00000000-0005-0000-0000-00009B040000}"/>
    <cellStyle name="Standaard 4 4 2 4" xfId="937" xr:uid="{00000000-0005-0000-0000-00009C040000}"/>
    <cellStyle name="Standaard 4 4 2 5" xfId="577" xr:uid="{00000000-0005-0000-0000-00009D040000}"/>
    <cellStyle name="Standaard 4 4 3" xfId="264" xr:uid="{00000000-0005-0000-0000-00009E040000}"/>
    <cellStyle name="Standaard 4 4 3 2" xfId="994" xr:uid="{00000000-0005-0000-0000-00009F040000}"/>
    <cellStyle name="Standaard 4 4 3 3" xfId="634" xr:uid="{00000000-0005-0000-0000-0000A0040000}"/>
    <cellStyle name="Standaard 4 4 4" xfId="463" xr:uid="{00000000-0005-0000-0000-0000A1040000}"/>
    <cellStyle name="Standaard 4 4 4 2" xfId="1202" xr:uid="{00000000-0005-0000-0000-0000A2040000}"/>
    <cellStyle name="Standaard 4 4 4 3" xfId="823" xr:uid="{00000000-0005-0000-0000-0000A3040000}"/>
    <cellStyle name="Standaard 4 4 5" xfId="863" xr:uid="{00000000-0005-0000-0000-0000A4040000}"/>
    <cellStyle name="Standaard 4 4 6" xfId="503" xr:uid="{00000000-0005-0000-0000-0000A5040000}"/>
    <cellStyle name="Standaard 4 5" xfId="189" xr:uid="{00000000-0005-0000-0000-0000A6040000}"/>
    <cellStyle name="Standaard 4 5 2" xfId="323" xr:uid="{00000000-0005-0000-0000-0000A7040000}"/>
    <cellStyle name="Standaard 4 5 2 2" xfId="1053" xr:uid="{00000000-0005-0000-0000-0000A8040000}"/>
    <cellStyle name="Standaard 4 5 2 3" xfId="693" xr:uid="{00000000-0005-0000-0000-0000A9040000}"/>
    <cellStyle name="Standaard 4 5 3" xfId="464" xr:uid="{00000000-0005-0000-0000-0000AA040000}"/>
    <cellStyle name="Standaard 4 5 3 2" xfId="1203" xr:uid="{00000000-0005-0000-0000-0000AB040000}"/>
    <cellStyle name="Standaard 4 5 3 3" xfId="824" xr:uid="{00000000-0005-0000-0000-0000AC040000}"/>
    <cellStyle name="Standaard 4 5 4" xfId="922" xr:uid="{00000000-0005-0000-0000-0000AD040000}"/>
    <cellStyle name="Standaard 4 5 5" xfId="562" xr:uid="{00000000-0005-0000-0000-0000AE040000}"/>
    <cellStyle name="Standaard 4 6" xfId="223" xr:uid="{00000000-0005-0000-0000-0000AF040000}"/>
    <cellStyle name="Standaard 4 6 2" xfId="354" xr:uid="{00000000-0005-0000-0000-0000B0040000}"/>
    <cellStyle name="Standaard 4 6 2 2" xfId="1084" xr:uid="{00000000-0005-0000-0000-0000B1040000}"/>
    <cellStyle name="Standaard 4 6 2 3" xfId="724" xr:uid="{00000000-0005-0000-0000-0000B2040000}"/>
    <cellStyle name="Standaard 4 6 3" xfId="953" xr:uid="{00000000-0005-0000-0000-0000B3040000}"/>
    <cellStyle name="Standaard 4 6 4" xfId="593" xr:uid="{00000000-0005-0000-0000-0000B4040000}"/>
    <cellStyle name="Standaard 4 7" xfId="249" xr:uid="{00000000-0005-0000-0000-0000B5040000}"/>
    <cellStyle name="Standaard 4 7 2" xfId="979" xr:uid="{00000000-0005-0000-0000-0000B6040000}"/>
    <cellStyle name="Standaard 4 7 3" xfId="619" xr:uid="{00000000-0005-0000-0000-0000B7040000}"/>
    <cellStyle name="Standaard 4 8" xfId="465" xr:uid="{00000000-0005-0000-0000-0000B8040000}"/>
    <cellStyle name="Standaard 4 8 2" xfId="1204" xr:uid="{00000000-0005-0000-0000-0000B9040000}"/>
    <cellStyle name="Standaard 4 8 3" xfId="825" xr:uid="{00000000-0005-0000-0000-0000BA040000}"/>
    <cellStyle name="Standaard 4 9" xfId="848" xr:uid="{00000000-0005-0000-0000-0000BB040000}"/>
    <cellStyle name="Standaard_Programma Interdomo GmbHVJB" xfId="101" xr:uid="{00000000-0005-0000-0000-0000BC040000}"/>
    <cellStyle name="Standard_Standardkalkulation" xfId="102" xr:uid="{00000000-0005-0000-0000-0000BD040000}"/>
    <cellStyle name="Texte explicatif 2" xfId="103" xr:uid="{00000000-0005-0000-0000-0000BE040000}"/>
    <cellStyle name="Titre 2" xfId="104" xr:uid="{00000000-0005-0000-0000-0000BF040000}"/>
    <cellStyle name="Titre 1 2" xfId="105" xr:uid="{00000000-0005-0000-0000-0000C0040000}"/>
    <cellStyle name="Titre 2 2" xfId="106" xr:uid="{00000000-0005-0000-0000-0000C1040000}"/>
    <cellStyle name="Titre 3 2" xfId="107" xr:uid="{00000000-0005-0000-0000-0000C2040000}"/>
    <cellStyle name="Total 2" xfId="108" xr:uid="{00000000-0005-0000-0000-0000C3040000}"/>
    <cellStyle name="Valuta [0]_Programma Interdomo GmbHVJB" xfId="109" xr:uid="{00000000-0005-0000-0000-0000C4040000}"/>
    <cellStyle name="Valuta_Programma Interdomo GmbHVJB" xfId="110" xr:uid="{00000000-0005-0000-0000-0000C5040000}"/>
  </cellStyles>
  <dxfs count="20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b/>
        <i val="0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600" b="1" i="0" u="sng" strike="noStrike" baseline="0">
                <a:solidFill>
                  <a:srgbClr val="3366FF"/>
                </a:solidFill>
                <a:latin typeface="Arial"/>
                <a:cs typeface="Arial"/>
              </a:rPr>
              <a:t>Estimatif des consommations annuelles</a:t>
            </a:r>
          </a:p>
        </c:rich>
      </c:tx>
      <c:layout>
        <c:manualLayout>
          <c:xMode val="edge"/>
          <c:yMode val="edge"/>
          <c:x val="0.35866543095458758"/>
          <c:y val="9.17647058823529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0.17176470588235293"/>
          <c:w val="0.92400370713623725"/>
          <c:h val="0.62117647058823533"/>
        </c:manualLayout>
      </c:layout>
      <c:bar3DChart>
        <c:barDir val="col"/>
        <c:grouping val="stacked"/>
        <c:varyColors val="0"/>
        <c:ser>
          <c:idx val="0"/>
          <c:order val="0"/>
          <c:tx>
            <c:v>Chauffage</c:v>
          </c:tx>
          <c:spPr>
            <a:solidFill>
              <a:srgbClr val="FFCC00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'Consommations et côuts de prod'!$C$52:$I$52</c:f>
              <c:strCache>
                <c:ptCount val="7"/>
                <c:pt idx="0">
                  <c:v>Actuelle</c:v>
                </c:pt>
                <c:pt idx="1">
                  <c:v>BOIS</c:v>
                </c:pt>
                <c:pt idx="2">
                  <c:v>PAC - COP 2,5</c:v>
                </c:pt>
                <c:pt idx="3">
                  <c:v>Gaz condensation</c:v>
                </c:pt>
                <c:pt idx="4">
                  <c:v>Fioul condens.</c:v>
                </c:pt>
                <c:pt idx="5">
                  <c:v>Fioul</c:v>
                </c:pt>
                <c:pt idx="6">
                  <c:v>Electricité</c:v>
                </c:pt>
              </c:strCache>
            </c:strRef>
          </c:cat>
          <c:val>
            <c:numRef>
              <c:f>'Consommations et côuts de prod'!$C$53:$I$53</c:f>
              <c:numCache>
                <c:formatCode>0</c:formatCode>
                <c:ptCount val="7"/>
                <c:pt idx="0">
                  <c:v>1847.0388872250001</c:v>
                </c:pt>
                <c:pt idx="1">
                  <c:v>674.41572413984079</c:v>
                </c:pt>
                <c:pt idx="2">
                  <c:v>945.92865247200018</c:v>
                </c:pt>
                <c:pt idx="3">
                  <c:v>917.78329799999995</c:v>
                </c:pt>
                <c:pt idx="4">
                  <c:v>1232.7089394705883</c:v>
                </c:pt>
                <c:pt idx="5">
                  <c:v>1323.5401244842108</c:v>
                </c:pt>
                <c:pt idx="6">
                  <c:v>2364.8216311800002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1-411E-B9BD-62B49AF755D9}"/>
            </c:ext>
          </c:extLst>
        </c:ser>
        <c:ser>
          <c:idx val="2"/>
          <c:order val="1"/>
          <c:tx>
            <c:v>ECS</c:v>
          </c:tx>
          <c:spPr>
            <a:solidFill>
              <a:srgbClr val="99CCFF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val>
            <c:numRef>
              <c:f>'Consommations et côuts de prod'!$C$54:$I$54</c:f>
              <c:numCache>
                <c:formatCode>0</c:formatCode>
                <c:ptCount val="7"/>
                <c:pt idx="0">
                  <c:v>460.44510749999989</c:v>
                </c:pt>
                <c:pt idx="1">
                  <c:v>171.06970749999994</c:v>
                </c:pt>
                <c:pt idx="2">
                  <c:v>235.80890640000001</c:v>
                </c:pt>
                <c:pt idx="3">
                  <c:v>228.79259999999996</c:v>
                </c:pt>
                <c:pt idx="4">
                  <c:v>307.29986470588233</c:v>
                </c:pt>
                <c:pt idx="5">
                  <c:v>329.94301263157894</c:v>
                </c:pt>
                <c:pt idx="6">
                  <c:v>589.52226599999995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1-411E-B9BD-62B49AF75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7830272"/>
        <c:axId val="107845120"/>
        <c:axId val="0"/>
      </c:bar3DChart>
      <c:catAx>
        <c:axId val="10783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784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845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Coûts des consommations en €</a:t>
                </a:r>
              </a:p>
            </c:rich>
          </c:tx>
          <c:layout>
            <c:manualLayout>
              <c:xMode val="edge"/>
              <c:yMode val="edge"/>
              <c:x val="5.6533827618164965E-2"/>
              <c:y val="0.277647058823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7830272"/>
        <c:crosses val="autoZero"/>
        <c:crossBetween val="between"/>
      </c:valAx>
      <c:dTable>
        <c:showHorzBorder val="0"/>
        <c:showVertBorder val="1"/>
        <c:showOutline val="1"/>
        <c:showKeys val="1"/>
        <c:spPr>
          <a:ln w="3175">
            <a:solidFill>
              <a:srgbClr val="969696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3366FF"/>
                </a:solidFill>
                <a:latin typeface="Arial"/>
                <a:ea typeface="Arial"/>
                <a:cs typeface="Arial"/>
              </a:defRPr>
            </a:pPr>
            <a:r>
              <a:rPr lang="fr-FR" sz="1600" u="sng"/>
              <a:t>Chauffage : Puissance bois / Puissance appoint</a:t>
            </a:r>
          </a:p>
        </c:rich>
      </c:tx>
      <c:layout>
        <c:manualLayout>
          <c:xMode val="edge"/>
          <c:yMode val="edge"/>
          <c:x val="0.29855102894746849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903438163721096E-2"/>
          <c:y val="0.13242038656799945"/>
          <c:w val="0.7265707338567462"/>
          <c:h val="0.69406547442537636"/>
        </c:manualLayout>
      </c:layout>
      <c:areaChart>
        <c:grouping val="stacked"/>
        <c:varyColors val="0"/>
        <c:ser>
          <c:idx val="1"/>
          <c:order val="0"/>
          <c:tx>
            <c:v>Couverture puissance bois</c:v>
          </c:tx>
          <c:spPr>
            <a:solidFill>
              <a:srgbClr val="FFCC00"/>
            </a:solidFill>
            <a:ln w="12700">
              <a:solidFill>
                <a:srgbClr val="C0C0C0"/>
              </a:solidFill>
              <a:prstDash val="solid"/>
            </a:ln>
          </c:spPr>
          <c:cat>
            <c:numRef>
              <c:f>Résultats!$J$27:$AW$27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0.25</c:v>
                </c:pt>
                <c:pt idx="6">
                  <c:v>0.35</c:v>
                </c:pt>
                <c:pt idx="7">
                  <c:v>0.5</c:v>
                </c:pt>
                <c:pt idx="8">
                  <c:v>0.85</c:v>
                </c:pt>
                <c:pt idx="9">
                  <c:v>1.35</c:v>
                </c:pt>
                <c:pt idx="10">
                  <c:v>2.1500000000000004</c:v>
                </c:pt>
                <c:pt idx="11">
                  <c:v>3.8000000000000003</c:v>
                </c:pt>
                <c:pt idx="12">
                  <c:v>6.2</c:v>
                </c:pt>
                <c:pt idx="13">
                  <c:v>9.6</c:v>
                </c:pt>
                <c:pt idx="14">
                  <c:v>13.149999999999999</c:v>
                </c:pt>
                <c:pt idx="15">
                  <c:v>19.5</c:v>
                </c:pt>
                <c:pt idx="16">
                  <c:v>26.35</c:v>
                </c:pt>
                <c:pt idx="17">
                  <c:v>34.799999999999997</c:v>
                </c:pt>
                <c:pt idx="18">
                  <c:v>44.599999999999994</c:v>
                </c:pt>
                <c:pt idx="19">
                  <c:v>54.949999999999996</c:v>
                </c:pt>
                <c:pt idx="20">
                  <c:v>66.899999999999991</c:v>
                </c:pt>
                <c:pt idx="21">
                  <c:v>81.149999999999991</c:v>
                </c:pt>
                <c:pt idx="22">
                  <c:v>96.899999999999991</c:v>
                </c:pt>
                <c:pt idx="23">
                  <c:v>111.8</c:v>
                </c:pt>
                <c:pt idx="24">
                  <c:v>127.85</c:v>
                </c:pt>
                <c:pt idx="25">
                  <c:v>143.65</c:v>
                </c:pt>
                <c:pt idx="26">
                  <c:v>159.15</c:v>
                </c:pt>
                <c:pt idx="27">
                  <c:v>173.82750000000001</c:v>
                </c:pt>
                <c:pt idx="28">
                  <c:v>187.19250000000002</c:v>
                </c:pt>
                <c:pt idx="29">
                  <c:v>198.83750000000003</c:v>
                </c:pt>
                <c:pt idx="30">
                  <c:v>209.16250000000002</c:v>
                </c:pt>
                <c:pt idx="31">
                  <c:v>219.18250000000003</c:v>
                </c:pt>
                <c:pt idx="32">
                  <c:v>226.08250000000004</c:v>
                </c:pt>
                <c:pt idx="33">
                  <c:v>231.80500000000004</c:v>
                </c:pt>
                <c:pt idx="34">
                  <c:v>231.80500000000004</c:v>
                </c:pt>
                <c:pt idx="35">
                  <c:v>231.80500000000004</c:v>
                </c:pt>
                <c:pt idx="36">
                  <c:v>231.80500000000004</c:v>
                </c:pt>
                <c:pt idx="37">
                  <c:v>231.80500000000004</c:v>
                </c:pt>
                <c:pt idx="38">
                  <c:v>231.80500000000004</c:v>
                </c:pt>
                <c:pt idx="39">
                  <c:v>231.80500000000004</c:v>
                </c:pt>
              </c:numCache>
            </c:numRef>
          </c:cat>
          <c:val>
            <c:numRef>
              <c:f>Résultats!$J$39:$AW$39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4.63420453125</c:v>
                </c:pt>
                <c:pt idx="5">
                  <c:v>4.63420453125</c:v>
                </c:pt>
                <c:pt idx="6">
                  <c:v>4.63420453125</c:v>
                </c:pt>
                <c:pt idx="7">
                  <c:v>4.63420453125</c:v>
                </c:pt>
                <c:pt idx="8">
                  <c:v>4.63420453125</c:v>
                </c:pt>
                <c:pt idx="9">
                  <c:v>4.63420453125</c:v>
                </c:pt>
                <c:pt idx="10">
                  <c:v>4.63420453125</c:v>
                </c:pt>
                <c:pt idx="11">
                  <c:v>4.63420453125</c:v>
                </c:pt>
                <c:pt idx="12">
                  <c:v>4.63420453125</c:v>
                </c:pt>
                <c:pt idx="13">
                  <c:v>4.63420453125</c:v>
                </c:pt>
                <c:pt idx="14">
                  <c:v>4.63420453125</c:v>
                </c:pt>
                <c:pt idx="15">
                  <c:v>4.63420453125</c:v>
                </c:pt>
                <c:pt idx="16">
                  <c:v>4.63420453125</c:v>
                </c:pt>
                <c:pt idx="17">
                  <c:v>4.63420453125</c:v>
                </c:pt>
                <c:pt idx="18">
                  <c:v>4.63420453125</c:v>
                </c:pt>
                <c:pt idx="19">
                  <c:v>4.453125</c:v>
                </c:pt>
                <c:pt idx="20">
                  <c:v>4.15625</c:v>
                </c:pt>
                <c:pt idx="21">
                  <c:v>3.859375</c:v>
                </c:pt>
                <c:pt idx="22">
                  <c:v>3.5625</c:v>
                </c:pt>
                <c:pt idx="23">
                  <c:v>3.265625</c:v>
                </c:pt>
                <c:pt idx="24">
                  <c:v>2.96875</c:v>
                </c:pt>
                <c:pt idx="25">
                  <c:v>2.671875</c:v>
                </c:pt>
                <c:pt idx="26">
                  <c:v>2.375</c:v>
                </c:pt>
                <c:pt idx="27">
                  <c:v>2.078125</c:v>
                </c:pt>
                <c:pt idx="28">
                  <c:v>1.78125</c:v>
                </c:pt>
                <c:pt idx="29">
                  <c:v>1.484375</c:v>
                </c:pt>
                <c:pt idx="30">
                  <c:v>1.1875</c:v>
                </c:pt>
                <c:pt idx="31">
                  <c:v>0.890625</c:v>
                </c:pt>
                <c:pt idx="32">
                  <c:v>0.59375</c:v>
                </c:pt>
                <c:pt idx="33">
                  <c:v>0.296875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3-4601-B8F4-D28067FF8675}"/>
            </c:ext>
          </c:extLst>
        </c:ser>
        <c:ser>
          <c:idx val="0"/>
          <c:order val="1"/>
          <c:tx>
            <c:v>Couverture puissance appoint</c:v>
          </c:tx>
          <c:spPr>
            <a:solidFill>
              <a:srgbClr val="FF0000"/>
            </a:solidFill>
            <a:ln w="12700">
              <a:solidFill>
                <a:srgbClr val="C0C0C0"/>
              </a:solidFill>
              <a:prstDash val="solid"/>
            </a:ln>
          </c:spPr>
          <c:cat>
            <c:numRef>
              <c:f>Résultats!$J$27:$AW$27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0.25</c:v>
                </c:pt>
                <c:pt idx="6">
                  <c:v>0.35</c:v>
                </c:pt>
                <c:pt idx="7">
                  <c:v>0.5</c:v>
                </c:pt>
                <c:pt idx="8">
                  <c:v>0.85</c:v>
                </c:pt>
                <c:pt idx="9">
                  <c:v>1.35</c:v>
                </c:pt>
                <c:pt idx="10">
                  <c:v>2.1500000000000004</c:v>
                </c:pt>
                <c:pt idx="11">
                  <c:v>3.8000000000000003</c:v>
                </c:pt>
                <c:pt idx="12">
                  <c:v>6.2</c:v>
                </c:pt>
                <c:pt idx="13">
                  <c:v>9.6</c:v>
                </c:pt>
                <c:pt idx="14">
                  <c:v>13.149999999999999</c:v>
                </c:pt>
                <c:pt idx="15">
                  <c:v>19.5</c:v>
                </c:pt>
                <c:pt idx="16">
                  <c:v>26.35</c:v>
                </c:pt>
                <c:pt idx="17">
                  <c:v>34.799999999999997</c:v>
                </c:pt>
                <c:pt idx="18">
                  <c:v>44.599999999999994</c:v>
                </c:pt>
                <c:pt idx="19">
                  <c:v>54.949999999999996</c:v>
                </c:pt>
                <c:pt idx="20">
                  <c:v>66.899999999999991</c:v>
                </c:pt>
                <c:pt idx="21">
                  <c:v>81.149999999999991</c:v>
                </c:pt>
                <c:pt idx="22">
                  <c:v>96.899999999999991</c:v>
                </c:pt>
                <c:pt idx="23">
                  <c:v>111.8</c:v>
                </c:pt>
                <c:pt idx="24">
                  <c:v>127.85</c:v>
                </c:pt>
                <c:pt idx="25">
                  <c:v>143.65</c:v>
                </c:pt>
                <c:pt idx="26">
                  <c:v>159.15</c:v>
                </c:pt>
                <c:pt idx="27">
                  <c:v>173.82750000000001</c:v>
                </c:pt>
                <c:pt idx="28">
                  <c:v>187.19250000000002</c:v>
                </c:pt>
                <c:pt idx="29">
                  <c:v>198.83750000000003</c:v>
                </c:pt>
                <c:pt idx="30">
                  <c:v>209.16250000000002</c:v>
                </c:pt>
                <c:pt idx="31">
                  <c:v>219.18250000000003</c:v>
                </c:pt>
                <c:pt idx="32">
                  <c:v>226.08250000000004</c:v>
                </c:pt>
                <c:pt idx="33">
                  <c:v>231.80500000000004</c:v>
                </c:pt>
                <c:pt idx="34">
                  <c:v>231.80500000000004</c:v>
                </c:pt>
                <c:pt idx="35">
                  <c:v>231.80500000000004</c:v>
                </c:pt>
                <c:pt idx="36">
                  <c:v>231.80500000000004</c:v>
                </c:pt>
                <c:pt idx="37">
                  <c:v>231.80500000000004</c:v>
                </c:pt>
                <c:pt idx="38">
                  <c:v>231.80500000000004</c:v>
                </c:pt>
                <c:pt idx="39">
                  <c:v>231.80500000000004</c:v>
                </c:pt>
              </c:numCache>
            </c:numRef>
          </c:cat>
          <c:val>
            <c:numRef>
              <c:f>Résultats!$J$38:$AW$38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4.27204546875</c:v>
                </c:pt>
                <c:pt idx="5">
                  <c:v>3.97517046875</c:v>
                </c:pt>
                <c:pt idx="6">
                  <c:v>3.67829546875</c:v>
                </c:pt>
                <c:pt idx="7">
                  <c:v>3.38142046875</c:v>
                </c:pt>
                <c:pt idx="8">
                  <c:v>3.08454546875</c:v>
                </c:pt>
                <c:pt idx="9">
                  <c:v>2.78767046875</c:v>
                </c:pt>
                <c:pt idx="10">
                  <c:v>2.49079546875</c:v>
                </c:pt>
                <c:pt idx="11">
                  <c:v>2.19392046875</c:v>
                </c:pt>
                <c:pt idx="12">
                  <c:v>1.89704546875</c:v>
                </c:pt>
                <c:pt idx="13">
                  <c:v>1.60017046875</c:v>
                </c:pt>
                <c:pt idx="14">
                  <c:v>1.30329546875</c:v>
                </c:pt>
                <c:pt idx="15">
                  <c:v>1.00642046875</c:v>
                </c:pt>
                <c:pt idx="16">
                  <c:v>0.70954546875000002</c:v>
                </c:pt>
                <c:pt idx="17">
                  <c:v>0.41267046875000002</c:v>
                </c:pt>
                <c:pt idx="18">
                  <c:v>0.11579546875000002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3-4601-B8F4-D28067FF8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32384"/>
        <c:axId val="108112896"/>
      </c:areaChart>
      <c:dateAx>
        <c:axId val="10803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Nombre de jour</a:t>
                </a:r>
              </a:p>
            </c:rich>
          </c:tx>
          <c:layout>
            <c:manualLayout>
              <c:xMode val="edge"/>
              <c:yMode val="edge"/>
              <c:x val="0.36908242991365214"/>
              <c:y val="0.906394611632449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112896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1081128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Puissance (kW)</a:t>
                </a:r>
              </a:p>
            </c:rich>
          </c:tx>
          <c:layout>
            <c:manualLayout>
              <c:xMode val="edge"/>
              <c:yMode val="edge"/>
              <c:x val="5.7971014492753624E-3"/>
              <c:y val="0.347032682558515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032384"/>
        <c:crosses val="autoZero"/>
        <c:crossBetween val="midCat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50795643298199"/>
          <c:y val="0.39726123275686426"/>
          <c:w val="0.20966203862198385"/>
          <c:h val="0.107306175769124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600" b="1" i="0" u="sng" strike="noStrike" baseline="0">
                <a:solidFill>
                  <a:srgbClr val="3366FF"/>
                </a:solidFill>
                <a:latin typeface="Arial"/>
                <a:cs typeface="Arial"/>
              </a:rPr>
              <a:t>Répartition des consommations de chauffage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050" b="1" i="1" u="none" strike="noStrike" baseline="0">
                <a:solidFill>
                  <a:srgbClr val="3366FF"/>
                </a:solidFill>
                <a:latin typeface="Arial"/>
                <a:cs typeface="Arial"/>
              </a:rPr>
              <a:t>(données station de référence)</a:t>
            </a:r>
          </a:p>
        </c:rich>
      </c:tx>
      <c:layout>
        <c:manualLayout>
          <c:xMode val="edge"/>
          <c:yMode val="edge"/>
          <c:x val="0.28601036269430052"/>
          <c:y val="3.8990825688073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156098542702962E-2"/>
          <c:y val="0.17889928292010432"/>
          <c:w val="0.72030932661604452"/>
          <c:h val="0.63672200773771503"/>
        </c:manualLayout>
      </c:layout>
      <c:areaChart>
        <c:grouping val="stacked"/>
        <c:varyColors val="0"/>
        <c:ser>
          <c:idx val="1"/>
          <c:order val="0"/>
          <c:tx>
            <c:v>Consommation appoint</c:v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Résultats!$G$5:$AU$5</c:f>
              <c:numCache>
                <c:formatCode>General</c:formatCode>
                <c:ptCount val="41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</c:numCache>
            </c:numRef>
          </c:cat>
          <c:val>
            <c:numRef>
              <c:f>Résultats!$G$46:$AU$46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7.6929196045263168</c:v>
                </c:pt>
                <c:pt idx="8">
                  <c:v>10.771139216842105</c:v>
                </c:pt>
                <c:pt idx="9">
                  <c:v>6.6667307707894752</c:v>
                </c:pt>
                <c:pt idx="10">
                  <c:v>9.225938794736841</c:v>
                </c:pt>
                <c:pt idx="11">
                  <c:v>19.71271817690284</c:v>
                </c:pt>
                <c:pt idx="12">
                  <c:v>25.55595435031579</c:v>
                </c:pt>
                <c:pt idx="13">
                  <c:v>36.698069491578941</c:v>
                </c:pt>
                <c:pt idx="14">
                  <c:v>66.990462859359255</c:v>
                </c:pt>
                <c:pt idx="15">
                  <c:v>84.69718027751199</c:v>
                </c:pt>
                <c:pt idx="16">
                  <c:v>101.78874447157897</c:v>
                </c:pt>
                <c:pt idx="17">
                  <c:v>87.102720777078943</c:v>
                </c:pt>
                <c:pt idx="18">
                  <c:v>121.13925777623272</c:v>
                </c:pt>
                <c:pt idx="19">
                  <c:v>92.828265207631574</c:v>
                </c:pt>
                <c:pt idx="20">
                  <c:v>67.158937521362262</c:v>
                </c:pt>
                <c:pt idx="21">
                  <c:v>22.060426342499994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F-4573-BDBD-BD400D5A5F07}"/>
            </c:ext>
          </c:extLst>
        </c:ser>
        <c:ser>
          <c:idx val="2"/>
          <c:order val="1"/>
          <c:tx>
            <c:v>Energie bois</c:v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Résultats!$G$5:$AU$5</c:f>
              <c:numCache>
                <c:formatCode>General</c:formatCode>
                <c:ptCount val="41"/>
                <c:pt idx="0">
                  <c:v>-20</c:v>
                </c:pt>
                <c:pt idx="1">
                  <c:v>-19</c:v>
                </c:pt>
                <c:pt idx="2">
                  <c:v>-18</c:v>
                </c:pt>
                <c:pt idx="3">
                  <c:v>-17</c:v>
                </c:pt>
                <c:pt idx="4">
                  <c:v>-16</c:v>
                </c:pt>
                <c:pt idx="5">
                  <c:v>-15</c:v>
                </c:pt>
                <c:pt idx="6">
                  <c:v>-14</c:v>
                </c:pt>
                <c:pt idx="7">
                  <c:v>-13</c:v>
                </c:pt>
                <c:pt idx="8">
                  <c:v>-12</c:v>
                </c:pt>
                <c:pt idx="9">
                  <c:v>-11</c:v>
                </c:pt>
                <c:pt idx="10">
                  <c:v>-10</c:v>
                </c:pt>
                <c:pt idx="11">
                  <c:v>-9</c:v>
                </c:pt>
                <c:pt idx="12">
                  <c:v>-8</c:v>
                </c:pt>
                <c:pt idx="13">
                  <c:v>-7</c:v>
                </c:pt>
                <c:pt idx="14">
                  <c:v>-6</c:v>
                </c:pt>
                <c:pt idx="15">
                  <c:v>-5</c:v>
                </c:pt>
                <c:pt idx="16">
                  <c:v>-4</c:v>
                </c:pt>
                <c:pt idx="17">
                  <c:v>-3</c:v>
                </c:pt>
                <c:pt idx="18">
                  <c:v>-2</c:v>
                </c:pt>
                <c:pt idx="19">
                  <c:v>-1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10</c:v>
                </c:pt>
                <c:pt idx="31">
                  <c:v>11</c:v>
                </c:pt>
                <c:pt idx="32">
                  <c:v>12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17</c:v>
                </c:pt>
                <c:pt idx="38">
                  <c:v>18</c:v>
                </c:pt>
                <c:pt idx="39">
                  <c:v>19</c:v>
                </c:pt>
                <c:pt idx="40">
                  <c:v>20</c:v>
                </c:pt>
              </c:numCache>
            </c:numRef>
          </c:cat>
          <c:val>
            <c:numRef>
              <c:f>Résultats!$G$43:$AU$43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8.3450803954736834</c:v>
                </c:pt>
                <c:pt idx="8">
                  <c:v>12.556860783157891</c:v>
                </c:pt>
                <c:pt idx="9">
                  <c:v>8.3992692292105264</c:v>
                </c:pt>
                <c:pt idx="10">
                  <c:v>12.644061205263156</c:v>
                </c:pt>
                <c:pt idx="11">
                  <c:v>29.616281823097168</c:v>
                </c:pt>
                <c:pt idx="12">
                  <c:v>42.484045649684219</c:v>
                </c:pt>
                <c:pt idx="13">
                  <c:v>68.277930508421051</c:v>
                </c:pt>
                <c:pt idx="14">
                  <c:v>141.50353714064073</c:v>
                </c:pt>
                <c:pt idx="15">
                  <c:v>206.90281972248803</c:v>
                </c:pt>
                <c:pt idx="16">
                  <c:v>294.7872555284211</c:v>
                </c:pt>
                <c:pt idx="17">
                  <c:v>309.71627922292106</c:v>
                </c:pt>
                <c:pt idx="18">
                  <c:v>557.80274222376727</c:v>
                </c:pt>
                <c:pt idx="19">
                  <c:v>606.28273479236827</c:v>
                </c:pt>
                <c:pt idx="20">
                  <c:v>754.18106247863773</c:v>
                </c:pt>
                <c:pt idx="21">
                  <c:v>882.87157365749999</c:v>
                </c:pt>
                <c:pt idx="22">
                  <c:v>905.41800000000001</c:v>
                </c:pt>
                <c:pt idx="23">
                  <c:v>987.30899999999997</c:v>
                </c:pt>
                <c:pt idx="24">
                  <c:v>1108.08</c:v>
                </c:pt>
                <c:pt idx="25">
                  <c:v>1148.175</c:v>
                </c:pt>
                <c:pt idx="26">
                  <c:v>1013.7959999999999</c:v>
                </c:pt>
                <c:pt idx="27">
                  <c:v>1014.0390000000001</c:v>
                </c:pt>
                <c:pt idx="28">
                  <c:v>921.45600000000002</c:v>
                </c:pt>
                <c:pt idx="29">
                  <c:v>828.63</c:v>
                </c:pt>
                <c:pt idx="30">
                  <c:v>713.32650000000012</c:v>
                </c:pt>
                <c:pt idx="31">
                  <c:v>584.58510000000012</c:v>
                </c:pt>
                <c:pt idx="32">
                  <c:v>452.75760000000002</c:v>
                </c:pt>
                <c:pt idx="33">
                  <c:v>351.25650000000002</c:v>
                </c:pt>
                <c:pt idx="34">
                  <c:v>292.18319999999994</c:v>
                </c:pt>
                <c:pt idx="35">
                  <c:v>167.67</c:v>
                </c:pt>
                <c:pt idx="36">
                  <c:v>111.24539999999999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F-4573-BDBD-BD400D5A5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08288"/>
        <c:axId val="108510592"/>
      </c:areaChart>
      <c:catAx>
        <c:axId val="10850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fr-FR" sz="115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Température extérieure en °C</a:t>
                </a:r>
              </a:p>
            </c:rich>
          </c:tx>
          <c:layout>
            <c:manualLayout>
              <c:xMode val="edge"/>
              <c:yMode val="edge"/>
              <c:x val="0.37769603732555018"/>
              <c:y val="0.893189266639492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51059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08510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fr-FR"/>
                  <a:t>Consommation chauffage en (kWh)</a:t>
                </a:r>
              </a:p>
            </c:rich>
          </c:tx>
          <c:layout>
            <c:manualLayout>
              <c:xMode val="edge"/>
              <c:yMode val="edge"/>
              <c:x val="7.6297037832464849E-4"/>
              <c:y val="0.21639900707220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0850828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207253934966583"/>
          <c:y val="0.41709859376708791"/>
          <c:w val="0.18031088082901559"/>
          <c:h val="0.10779840593320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995086815782922E-2"/>
          <c:y val="6.1904905842880026E-2"/>
          <c:w val="0.75000091097358779"/>
          <c:h val="0.80000186012337271"/>
        </c:manualLayout>
      </c:layout>
      <c:areaChart>
        <c:grouping val="stacked"/>
        <c:varyColors val="0"/>
        <c:ser>
          <c:idx val="0"/>
          <c:order val="0"/>
          <c:tx>
            <c:v>Puissance appelée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Résultats!$J$27:$AW$27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0.25</c:v>
                </c:pt>
                <c:pt idx="6">
                  <c:v>0.35</c:v>
                </c:pt>
                <c:pt idx="7">
                  <c:v>0.5</c:v>
                </c:pt>
                <c:pt idx="8">
                  <c:v>0.85</c:v>
                </c:pt>
                <c:pt idx="9">
                  <c:v>1.35</c:v>
                </c:pt>
                <c:pt idx="10">
                  <c:v>2.1500000000000004</c:v>
                </c:pt>
                <c:pt idx="11">
                  <c:v>3.8000000000000003</c:v>
                </c:pt>
                <c:pt idx="12">
                  <c:v>6.2</c:v>
                </c:pt>
                <c:pt idx="13">
                  <c:v>9.6</c:v>
                </c:pt>
                <c:pt idx="14">
                  <c:v>13.149999999999999</c:v>
                </c:pt>
                <c:pt idx="15">
                  <c:v>19.5</c:v>
                </c:pt>
                <c:pt idx="16">
                  <c:v>26.35</c:v>
                </c:pt>
                <c:pt idx="17">
                  <c:v>34.799999999999997</c:v>
                </c:pt>
                <c:pt idx="18">
                  <c:v>44.599999999999994</c:v>
                </c:pt>
                <c:pt idx="19">
                  <c:v>54.949999999999996</c:v>
                </c:pt>
                <c:pt idx="20">
                  <c:v>66.899999999999991</c:v>
                </c:pt>
                <c:pt idx="21">
                  <c:v>81.149999999999991</c:v>
                </c:pt>
                <c:pt idx="22">
                  <c:v>96.899999999999991</c:v>
                </c:pt>
                <c:pt idx="23">
                  <c:v>111.8</c:v>
                </c:pt>
                <c:pt idx="24">
                  <c:v>127.85</c:v>
                </c:pt>
                <c:pt idx="25">
                  <c:v>143.65</c:v>
                </c:pt>
                <c:pt idx="26">
                  <c:v>159.15</c:v>
                </c:pt>
                <c:pt idx="27">
                  <c:v>173.82750000000001</c:v>
                </c:pt>
                <c:pt idx="28">
                  <c:v>187.19250000000002</c:v>
                </c:pt>
                <c:pt idx="29">
                  <c:v>198.83750000000003</c:v>
                </c:pt>
                <c:pt idx="30">
                  <c:v>209.16250000000002</c:v>
                </c:pt>
                <c:pt idx="31">
                  <c:v>219.18250000000003</c:v>
                </c:pt>
                <c:pt idx="32">
                  <c:v>226.08250000000004</c:v>
                </c:pt>
                <c:pt idx="33">
                  <c:v>231.80500000000004</c:v>
                </c:pt>
                <c:pt idx="34">
                  <c:v>231.80500000000004</c:v>
                </c:pt>
                <c:pt idx="35">
                  <c:v>231.80500000000004</c:v>
                </c:pt>
                <c:pt idx="36">
                  <c:v>231.80500000000004</c:v>
                </c:pt>
                <c:pt idx="37">
                  <c:v>231.80500000000004</c:v>
                </c:pt>
                <c:pt idx="38">
                  <c:v>231.80500000000004</c:v>
                </c:pt>
                <c:pt idx="39">
                  <c:v>231.80500000000004</c:v>
                </c:pt>
              </c:numCache>
            </c:numRef>
          </c:cat>
          <c:val>
            <c:numRef>
              <c:f>Résultats!$J$38:$AW$38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4.27204546875</c:v>
                </c:pt>
                <c:pt idx="5">
                  <c:v>3.97517046875</c:v>
                </c:pt>
                <c:pt idx="6">
                  <c:v>3.67829546875</c:v>
                </c:pt>
                <c:pt idx="7">
                  <c:v>3.38142046875</c:v>
                </c:pt>
                <c:pt idx="8">
                  <c:v>3.08454546875</c:v>
                </c:pt>
                <c:pt idx="9">
                  <c:v>2.78767046875</c:v>
                </c:pt>
                <c:pt idx="10">
                  <c:v>2.49079546875</c:v>
                </c:pt>
                <c:pt idx="11">
                  <c:v>2.19392046875</c:v>
                </c:pt>
                <c:pt idx="12">
                  <c:v>1.89704546875</c:v>
                </c:pt>
                <c:pt idx="13">
                  <c:v>1.60017046875</c:v>
                </c:pt>
                <c:pt idx="14">
                  <c:v>1.30329546875</c:v>
                </c:pt>
                <c:pt idx="15">
                  <c:v>1.00642046875</c:v>
                </c:pt>
                <c:pt idx="16">
                  <c:v>0.70954546875000002</c:v>
                </c:pt>
                <c:pt idx="17">
                  <c:v>0.41267046875000002</c:v>
                </c:pt>
                <c:pt idx="18">
                  <c:v>0.11579546875000002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6-4005-80DB-7D49C4D14944}"/>
            </c:ext>
          </c:extLst>
        </c:ser>
        <c:ser>
          <c:idx val="1"/>
          <c:order val="1"/>
          <c:tx>
            <c:v>Puissance bois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Résultats!$J$27:$AW$27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0.25</c:v>
                </c:pt>
                <c:pt idx="6">
                  <c:v>0.35</c:v>
                </c:pt>
                <c:pt idx="7">
                  <c:v>0.5</c:v>
                </c:pt>
                <c:pt idx="8">
                  <c:v>0.85</c:v>
                </c:pt>
                <c:pt idx="9">
                  <c:v>1.35</c:v>
                </c:pt>
                <c:pt idx="10">
                  <c:v>2.1500000000000004</c:v>
                </c:pt>
                <c:pt idx="11">
                  <c:v>3.8000000000000003</c:v>
                </c:pt>
                <c:pt idx="12">
                  <c:v>6.2</c:v>
                </c:pt>
                <c:pt idx="13">
                  <c:v>9.6</c:v>
                </c:pt>
                <c:pt idx="14">
                  <c:v>13.149999999999999</c:v>
                </c:pt>
                <c:pt idx="15">
                  <c:v>19.5</c:v>
                </c:pt>
                <c:pt idx="16">
                  <c:v>26.35</c:v>
                </c:pt>
                <c:pt idx="17">
                  <c:v>34.799999999999997</c:v>
                </c:pt>
                <c:pt idx="18">
                  <c:v>44.599999999999994</c:v>
                </c:pt>
                <c:pt idx="19">
                  <c:v>54.949999999999996</c:v>
                </c:pt>
                <c:pt idx="20">
                  <c:v>66.899999999999991</c:v>
                </c:pt>
                <c:pt idx="21">
                  <c:v>81.149999999999991</c:v>
                </c:pt>
                <c:pt idx="22">
                  <c:v>96.899999999999991</c:v>
                </c:pt>
                <c:pt idx="23">
                  <c:v>111.8</c:v>
                </c:pt>
                <c:pt idx="24">
                  <c:v>127.85</c:v>
                </c:pt>
                <c:pt idx="25">
                  <c:v>143.65</c:v>
                </c:pt>
                <c:pt idx="26">
                  <c:v>159.15</c:v>
                </c:pt>
                <c:pt idx="27">
                  <c:v>173.82750000000001</c:v>
                </c:pt>
                <c:pt idx="28">
                  <c:v>187.19250000000002</c:v>
                </c:pt>
                <c:pt idx="29">
                  <c:v>198.83750000000003</c:v>
                </c:pt>
                <c:pt idx="30">
                  <c:v>209.16250000000002</c:v>
                </c:pt>
                <c:pt idx="31">
                  <c:v>219.18250000000003</c:v>
                </c:pt>
                <c:pt idx="32">
                  <c:v>226.08250000000004</c:v>
                </c:pt>
                <c:pt idx="33">
                  <c:v>231.80500000000004</c:v>
                </c:pt>
                <c:pt idx="34">
                  <c:v>231.80500000000004</c:v>
                </c:pt>
                <c:pt idx="35">
                  <c:v>231.80500000000004</c:v>
                </c:pt>
                <c:pt idx="36">
                  <c:v>231.80500000000004</c:v>
                </c:pt>
                <c:pt idx="37">
                  <c:v>231.80500000000004</c:v>
                </c:pt>
                <c:pt idx="38">
                  <c:v>231.80500000000004</c:v>
                </c:pt>
                <c:pt idx="39">
                  <c:v>231.80500000000004</c:v>
                </c:pt>
              </c:numCache>
            </c:numRef>
          </c:cat>
          <c:val>
            <c:numRef>
              <c:f>Résultats!$J$39:$AW$39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4.63420453125</c:v>
                </c:pt>
                <c:pt idx="5">
                  <c:v>4.63420453125</c:v>
                </c:pt>
                <c:pt idx="6">
                  <c:v>4.63420453125</c:v>
                </c:pt>
                <c:pt idx="7">
                  <c:v>4.63420453125</c:v>
                </c:pt>
                <c:pt idx="8">
                  <c:v>4.63420453125</c:v>
                </c:pt>
                <c:pt idx="9">
                  <c:v>4.63420453125</c:v>
                </c:pt>
                <c:pt idx="10">
                  <c:v>4.63420453125</c:v>
                </c:pt>
                <c:pt idx="11">
                  <c:v>4.63420453125</c:v>
                </c:pt>
                <c:pt idx="12">
                  <c:v>4.63420453125</c:v>
                </c:pt>
                <c:pt idx="13">
                  <c:v>4.63420453125</c:v>
                </c:pt>
                <c:pt idx="14">
                  <c:v>4.63420453125</c:v>
                </c:pt>
                <c:pt idx="15">
                  <c:v>4.63420453125</c:v>
                </c:pt>
                <c:pt idx="16">
                  <c:v>4.63420453125</c:v>
                </c:pt>
                <c:pt idx="17">
                  <c:v>4.63420453125</c:v>
                </c:pt>
                <c:pt idx="18">
                  <c:v>4.63420453125</c:v>
                </c:pt>
                <c:pt idx="19">
                  <c:v>4.453125</c:v>
                </c:pt>
                <c:pt idx="20">
                  <c:v>4.15625</c:v>
                </c:pt>
                <c:pt idx="21">
                  <c:v>3.859375</c:v>
                </c:pt>
                <c:pt idx="22">
                  <c:v>3.5625</c:v>
                </c:pt>
                <c:pt idx="23">
                  <c:v>3.265625</c:v>
                </c:pt>
                <c:pt idx="24">
                  <c:v>2.96875</c:v>
                </c:pt>
                <c:pt idx="25">
                  <c:v>2.671875</c:v>
                </c:pt>
                <c:pt idx="26">
                  <c:v>2.375</c:v>
                </c:pt>
                <c:pt idx="27">
                  <c:v>2.078125</c:v>
                </c:pt>
                <c:pt idx="28">
                  <c:v>1.78125</c:v>
                </c:pt>
                <c:pt idx="29">
                  <c:v>1.484375</c:v>
                </c:pt>
                <c:pt idx="30">
                  <c:v>1.1875</c:v>
                </c:pt>
                <c:pt idx="31">
                  <c:v>0.890625</c:v>
                </c:pt>
                <c:pt idx="32">
                  <c:v>0.59375</c:v>
                </c:pt>
                <c:pt idx="33">
                  <c:v>0.296875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6-4005-80DB-7D49C4D14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143744"/>
        <c:axId val="110146304"/>
      </c:areaChart>
      <c:dateAx>
        <c:axId val="110143744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0146304"/>
        <c:crosses val="autoZero"/>
        <c:auto val="0"/>
        <c:lblOffset val="100"/>
        <c:baseTimeUnit val="days"/>
        <c:majorUnit val="14"/>
        <c:majorTimeUnit val="days"/>
        <c:minorUnit val="7"/>
        <c:minorTimeUnit val="days"/>
      </c:dateAx>
      <c:valAx>
        <c:axId val="11014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01437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835925360076257"/>
          <c:y val="0.4119057617797775"/>
          <c:w val="0.16169180344994183"/>
          <c:h val="0.102381202349706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http://www.oertli.fr/" TargetMode="External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image" Target="../media/image3.png"/><Relationship Id="rId2" Type="http://schemas.openxmlformats.org/officeDocument/2006/relationships/image" Target="../media/image11.emf"/><Relationship Id="rId1" Type="http://schemas.openxmlformats.org/officeDocument/2006/relationships/image" Target="../media/image10.png"/><Relationship Id="rId6" Type="http://schemas.openxmlformats.org/officeDocument/2006/relationships/hyperlink" Target="http://www.oertli.fr/" TargetMode="Externa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oertli.fr/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184</xdr:row>
      <xdr:rowOff>28575</xdr:rowOff>
    </xdr:from>
    <xdr:to>
      <xdr:col>20</xdr:col>
      <xdr:colOff>17452</xdr:colOff>
      <xdr:row>216</xdr:row>
      <xdr:rowOff>46970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38C9B2C-3244-4E88-8380-3FE426F53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31546800"/>
          <a:ext cx="12780952" cy="523809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76200</xdr:colOff>
      <xdr:row>222</xdr:row>
      <xdr:rowOff>19050</xdr:rowOff>
    </xdr:from>
    <xdr:to>
      <xdr:col>17</xdr:col>
      <xdr:colOff>465359</xdr:colOff>
      <xdr:row>247</xdr:row>
      <xdr:rowOff>113777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1E320E51-63E2-4602-9C76-30A21492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0200" y="37814250"/>
          <a:ext cx="10923809" cy="41809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552450</xdr:colOff>
      <xdr:row>1</xdr:row>
      <xdr:rowOff>19050</xdr:rowOff>
    </xdr:from>
    <xdr:to>
      <xdr:col>11</xdr:col>
      <xdr:colOff>190500</xdr:colOff>
      <xdr:row>5</xdr:row>
      <xdr:rowOff>67646</xdr:rowOff>
    </xdr:to>
    <xdr:pic>
      <xdr:nvPicPr>
        <xdr:cNvPr id="12" name="Imag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FEABCA-95CF-4BC4-A551-982577123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86450" y="180975"/>
          <a:ext cx="2686050" cy="69629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53</xdr:row>
      <xdr:rowOff>142876</xdr:rowOff>
    </xdr:from>
    <xdr:to>
      <xdr:col>16</xdr:col>
      <xdr:colOff>304800</xdr:colOff>
      <xdr:row>59</xdr:row>
      <xdr:rowOff>105815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5E23B8-0522-41CF-9B98-01F6E0FE0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9751" y="9591676"/>
          <a:ext cx="9791699" cy="9725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65</xdr:row>
      <xdr:rowOff>1</xdr:rowOff>
    </xdr:from>
    <xdr:to>
      <xdr:col>18</xdr:col>
      <xdr:colOff>493836</xdr:colOff>
      <xdr:row>80</xdr:row>
      <xdr:rowOff>47626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23A03360-6D4A-404A-95FD-D6F557D24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0" y="11487151"/>
          <a:ext cx="11790486" cy="25146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19</xdr:col>
      <xdr:colOff>750874</xdr:colOff>
      <xdr:row>105</xdr:row>
      <xdr:rowOff>113876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9C84ACFD-CA1F-473D-9FD9-9F4A50B6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0" y="14839950"/>
          <a:ext cx="12809524" cy="33904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119</xdr:row>
      <xdr:rowOff>0</xdr:rowOff>
    </xdr:from>
    <xdr:to>
      <xdr:col>19</xdr:col>
      <xdr:colOff>665159</xdr:colOff>
      <xdr:row>130</xdr:row>
      <xdr:rowOff>123582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B7CEA2D3-C2D8-4CA1-840D-5147E5A5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0" y="20621625"/>
          <a:ext cx="12723809" cy="19428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20</xdr:col>
      <xdr:colOff>36493</xdr:colOff>
      <xdr:row>169</xdr:row>
      <xdr:rowOff>8892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1B003EB-13B6-4113-9ABF-2B3D50D7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0" y="23812500"/>
          <a:ext cx="12857143" cy="506666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0</xdr:colOff>
      <xdr:row>253</xdr:row>
      <xdr:rowOff>0</xdr:rowOff>
    </xdr:from>
    <xdr:to>
      <xdr:col>20</xdr:col>
      <xdr:colOff>46017</xdr:colOff>
      <xdr:row>273</xdr:row>
      <xdr:rowOff>18638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004738C-C20C-40FF-ACE5-979A2CD1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24000" y="42910125"/>
          <a:ext cx="12866667" cy="3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47</xdr:row>
      <xdr:rowOff>276225</xdr:rowOff>
    </xdr:from>
    <xdr:to>
      <xdr:col>4</xdr:col>
      <xdr:colOff>104775</xdr:colOff>
      <xdr:row>49</xdr:row>
      <xdr:rowOff>114300</xdr:rowOff>
    </xdr:to>
    <xdr:sp macro="" textlink="">
      <xdr:nvSpPr>
        <xdr:cNvPr id="1321" name="Text Box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 txBox="1">
          <a:spLocks noChangeArrowheads="1"/>
        </xdr:cNvSpPr>
      </xdr:nvSpPr>
      <xdr:spPr bwMode="auto">
        <a:xfrm>
          <a:off x="3190875" y="10287000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45720" rIns="0" bIns="0" anchor="t" upright="1"/>
        <a:lstStyle/>
        <a:p>
          <a:pPr algn="l" rtl="0">
            <a:defRPr sz="1000"/>
          </a:pPr>
          <a:r>
            <a:rPr lang="fr-FR" sz="26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</a:p>
      </xdr:txBody>
    </xdr:sp>
    <xdr:clientData/>
  </xdr:twoCellAnchor>
  <xdr:twoCellAnchor editAs="oneCell">
    <xdr:from>
      <xdr:col>5</xdr:col>
      <xdr:colOff>451597</xdr:colOff>
      <xdr:row>0</xdr:row>
      <xdr:rowOff>0</xdr:rowOff>
    </xdr:from>
    <xdr:to>
      <xdr:col>11</xdr:col>
      <xdr:colOff>711734</xdr:colOff>
      <xdr:row>4</xdr:row>
      <xdr:rowOff>91328</xdr:rowOff>
    </xdr:to>
    <xdr:pic>
      <xdr:nvPicPr>
        <xdr:cNvPr id="1487" name="Picture 388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7372" y="0"/>
          <a:ext cx="5346487" cy="1081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1246653</xdr:colOff>
          <xdr:row>60</xdr:row>
          <xdr:rowOff>122705</xdr:rowOff>
        </xdr:from>
        <xdr:to>
          <xdr:col>12</xdr:col>
          <xdr:colOff>1209115</xdr:colOff>
          <xdr:row>76</xdr:row>
          <xdr:rowOff>156786</xdr:rowOff>
        </xdr:to>
        <xdr:pic>
          <xdr:nvPicPr>
            <xdr:cNvPr id="1488" name="Picture 397" descr="cbi">
              <a:extLs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" spid="_x0000_s18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628778" y="14905505"/>
              <a:ext cx="2257987" cy="27582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190500</xdr:colOff>
      <xdr:row>136</xdr:row>
      <xdr:rowOff>13607</xdr:rowOff>
    </xdr:from>
    <xdr:to>
      <xdr:col>12</xdr:col>
      <xdr:colOff>340178</xdr:colOff>
      <xdr:row>139</xdr:row>
      <xdr:rowOff>1695450</xdr:rowOff>
    </xdr:to>
    <xdr:graphicFrame macro="">
      <xdr:nvGraphicFramePr>
        <xdr:cNvPr id="1489" name="Graphique 398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657225</xdr:colOff>
      <xdr:row>87</xdr:row>
      <xdr:rowOff>180975</xdr:rowOff>
    </xdr:from>
    <xdr:to>
      <xdr:col>11</xdr:col>
      <xdr:colOff>2209800</xdr:colOff>
      <xdr:row>115</xdr:row>
      <xdr:rowOff>152400</xdr:rowOff>
    </xdr:to>
    <xdr:graphicFrame macro="">
      <xdr:nvGraphicFramePr>
        <xdr:cNvPr id="1490" name="Graphique 405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683079</xdr:colOff>
      <xdr:row>115</xdr:row>
      <xdr:rowOff>93890</xdr:rowOff>
    </xdr:from>
    <xdr:to>
      <xdr:col>11</xdr:col>
      <xdr:colOff>2231572</xdr:colOff>
      <xdr:row>137</xdr:row>
      <xdr:rowOff>122464</xdr:rowOff>
    </xdr:to>
    <xdr:graphicFrame macro="">
      <xdr:nvGraphicFramePr>
        <xdr:cNvPr id="1491" name="Graphique 40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295275</xdr:colOff>
      <xdr:row>3</xdr:row>
      <xdr:rowOff>200996</xdr:rowOff>
    </xdr:to>
    <xdr:pic>
      <xdr:nvPicPr>
        <xdr:cNvPr id="10" name="Imag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85C9024-A119-413A-86B5-04DFBD602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3375" y="247650"/>
          <a:ext cx="2686050" cy="69629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161</xdr:row>
      <xdr:rowOff>238125</xdr:rowOff>
    </xdr:from>
    <xdr:to>
      <xdr:col>3</xdr:col>
      <xdr:colOff>304800</xdr:colOff>
      <xdr:row>162</xdr:row>
      <xdr:rowOff>86696</xdr:rowOff>
    </xdr:to>
    <xdr:pic>
      <xdr:nvPicPr>
        <xdr:cNvPr id="13" name="Imag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78169-1DB4-45E0-B707-918F4E36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900" y="37509450"/>
          <a:ext cx="2686050" cy="6962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1</xdr:row>
      <xdr:rowOff>95250</xdr:rowOff>
    </xdr:from>
    <xdr:to>
      <xdr:col>3</xdr:col>
      <xdr:colOff>1181100</xdr:colOff>
      <xdr:row>4</xdr:row>
      <xdr:rowOff>77171</xdr:rowOff>
    </xdr:to>
    <xdr:pic>
      <xdr:nvPicPr>
        <xdr:cNvPr id="3" name="Imag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211EAC-5FB5-4068-AA62-63A935E5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285750"/>
          <a:ext cx="2686050" cy="6962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209550</xdr:colOff>
      <xdr:row>96</xdr:row>
      <xdr:rowOff>142875</xdr:rowOff>
    </xdr:from>
    <xdr:to>
      <xdr:col>26</xdr:col>
      <xdr:colOff>247650</xdr:colOff>
      <xdr:row>121</xdr:row>
      <xdr:rowOff>95250</xdr:rowOff>
    </xdr:to>
    <xdr:graphicFrame macro="">
      <xdr:nvGraphicFramePr>
        <xdr:cNvPr id="10426" name="Graphique 2">
          <a:extLst>
            <a:ext uri="{FF2B5EF4-FFF2-40B4-BE49-F238E27FC236}">
              <a16:creationId xmlns:a16="http://schemas.microsoft.com/office/drawing/2014/main" id="{00000000-0008-0000-0200-0000BA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628651</xdr:colOff>
      <xdr:row>138</xdr:row>
      <xdr:rowOff>358467</xdr:rowOff>
    </xdr:from>
    <xdr:to>
      <xdr:col>1</xdr:col>
      <xdr:colOff>2172261</xdr:colOff>
      <xdr:row>138</xdr:row>
      <xdr:rowOff>2696921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EC84948-3ED5-4F7B-AC3D-36C849020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6" y="25761642"/>
          <a:ext cx="1543610" cy="2338454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139</xdr:row>
      <xdr:rowOff>0</xdr:rowOff>
    </xdr:from>
    <xdr:to>
      <xdr:col>1</xdr:col>
      <xdr:colOff>2343150</xdr:colOff>
      <xdr:row>139</xdr:row>
      <xdr:rowOff>2700625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7E64EDB-784C-4D26-B232-AE4E0469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8279725"/>
          <a:ext cx="1943100" cy="2700625"/>
        </a:xfrm>
        <a:prstGeom prst="rect">
          <a:avLst/>
        </a:prstGeom>
      </xdr:spPr>
    </xdr:pic>
    <xdr:clientData/>
  </xdr:twoCellAnchor>
  <xdr:oneCellAnchor>
    <xdr:from>
      <xdr:col>1</xdr:col>
      <xdr:colOff>590550</xdr:colOff>
      <xdr:row>137</xdr:row>
      <xdr:rowOff>428625</xdr:rowOff>
    </xdr:from>
    <xdr:ext cx="1466850" cy="2136707"/>
    <xdr:pic>
      <xdr:nvPicPr>
        <xdr:cNvPr id="7" name="Picture 455">
          <a:extLst>
            <a:ext uri="{FF2B5EF4-FFF2-40B4-BE49-F238E27FC236}">
              <a16:creationId xmlns:a16="http://schemas.microsoft.com/office/drawing/2014/main" id="{0CA00967-1641-4F7A-9CCF-8089B58EB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71675" y="22955250"/>
          <a:ext cx="1466850" cy="2136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eveloppement-durable.bsocom.fr/statistiques/ReportFolders/ReportFolders.asp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15152-3D72-4D99-ABB4-2D82D963F67E}">
  <sheetPr codeName="Feuil1"/>
  <dimension ref="B7:O282"/>
  <sheetViews>
    <sheetView showGridLines="0" showRowColHeaders="0" tabSelected="1" zoomScaleNormal="100" workbookViewId="0">
      <pane ySplit="7" topLeftCell="A8" activePane="bottomLeft" state="frozen"/>
      <selection pane="bottomLeft" activeCell="B12" sqref="B12"/>
    </sheetView>
  </sheetViews>
  <sheetFormatPr baseColWidth="10" defaultRowHeight="12.75" x14ac:dyDescent="0.2"/>
  <cols>
    <col min="12" max="12" width="4.5703125" customWidth="1"/>
    <col min="13" max="13" width="4.85546875" customWidth="1"/>
  </cols>
  <sheetData>
    <row r="7" spans="3:10" ht="23.25" x14ac:dyDescent="0.35">
      <c r="J7" s="525" t="str">
        <f>+CONCATENATE("Notice d'utilisation de l'outil Bois - ",Données!$C$10)</f>
        <v>Notice d'utilisation de l'outil Bois - Version 04/2020</v>
      </c>
    </row>
    <row r="12" spans="3:10" ht="15" x14ac:dyDescent="0.2">
      <c r="C12" s="522" t="s">
        <v>738</v>
      </c>
      <c r="D12" s="523"/>
      <c r="E12" s="523"/>
      <c r="F12" s="523"/>
      <c r="G12" s="523"/>
      <c r="H12" s="523"/>
      <c r="I12" s="523"/>
    </row>
    <row r="13" spans="3:10" ht="14.25" x14ac:dyDescent="0.2">
      <c r="C13" s="523"/>
      <c r="D13" s="523" t="s">
        <v>739</v>
      </c>
      <c r="E13" s="523"/>
      <c r="F13" s="523"/>
      <c r="G13" s="523"/>
      <c r="H13" s="523"/>
      <c r="I13" s="523"/>
    </row>
    <row r="14" spans="3:10" ht="14.25" x14ac:dyDescent="0.2">
      <c r="C14" s="523"/>
      <c r="D14" s="523" t="s">
        <v>740</v>
      </c>
      <c r="E14" s="523"/>
      <c r="F14" s="523"/>
      <c r="G14" s="523"/>
      <c r="H14" s="523"/>
      <c r="I14" s="523"/>
    </row>
    <row r="15" spans="3:10" ht="14.25" x14ac:dyDescent="0.2">
      <c r="C15" s="523"/>
      <c r="D15" s="523"/>
      <c r="E15" s="523"/>
      <c r="F15" s="523"/>
      <c r="G15" s="523"/>
      <c r="H15" s="523"/>
      <c r="I15" s="523"/>
    </row>
    <row r="16" spans="3:10" ht="14.25" x14ac:dyDescent="0.2">
      <c r="C16" s="523"/>
      <c r="D16" s="523"/>
      <c r="E16" s="523"/>
      <c r="F16" s="523"/>
      <c r="G16" s="523"/>
      <c r="H16" s="523"/>
      <c r="I16" s="523"/>
    </row>
    <row r="17" spans="3:10" ht="15" x14ac:dyDescent="0.2">
      <c r="C17" s="522" t="s">
        <v>741</v>
      </c>
      <c r="D17" s="523"/>
      <c r="E17" s="523"/>
      <c r="F17" s="523"/>
      <c r="G17" s="523"/>
      <c r="H17" s="524" t="s">
        <v>742</v>
      </c>
      <c r="I17" s="523" t="str">
        <f>Données!$C$10</f>
        <v>Version 04/2020</v>
      </c>
    </row>
    <row r="20" spans="3:10" ht="15" x14ac:dyDescent="0.25">
      <c r="D20" s="526" t="s">
        <v>743</v>
      </c>
      <c r="E20" s="527" t="s">
        <v>744</v>
      </c>
      <c r="F20" s="523"/>
      <c r="G20" s="523"/>
      <c r="H20" s="523"/>
      <c r="I20" s="523"/>
      <c r="J20" s="523"/>
    </row>
    <row r="21" spans="3:10" ht="14.25" x14ac:dyDescent="0.2">
      <c r="D21" s="523"/>
      <c r="E21" s="523"/>
      <c r="F21" s="523"/>
      <c r="G21" s="523"/>
      <c r="H21" s="523"/>
      <c r="I21" s="523"/>
      <c r="J21" s="523"/>
    </row>
    <row r="22" spans="3:10" ht="14.25" x14ac:dyDescent="0.2">
      <c r="D22" s="523"/>
      <c r="E22" s="523"/>
      <c r="F22" s="528" t="s">
        <v>745</v>
      </c>
      <c r="G22" s="523"/>
      <c r="H22" s="523"/>
      <c r="I22" s="523"/>
      <c r="J22" s="523"/>
    </row>
    <row r="23" spans="3:10" ht="14.25" x14ac:dyDescent="0.2">
      <c r="D23" s="523"/>
      <c r="E23" s="523"/>
      <c r="F23" s="523"/>
      <c r="G23" s="523" t="s">
        <v>806</v>
      </c>
      <c r="H23" s="523"/>
      <c r="I23" s="523"/>
      <c r="J23" s="523"/>
    </row>
    <row r="24" spans="3:10" ht="14.25" x14ac:dyDescent="0.2">
      <c r="D24" s="523"/>
      <c r="E24" s="523"/>
      <c r="F24" s="523"/>
      <c r="G24" s="523" t="s">
        <v>804</v>
      </c>
      <c r="H24" s="523"/>
      <c r="I24" s="523"/>
      <c r="J24" s="523"/>
    </row>
    <row r="25" spans="3:10" ht="14.25" x14ac:dyDescent="0.2">
      <c r="D25" s="523"/>
      <c r="E25" s="523"/>
      <c r="F25" s="523"/>
      <c r="G25" s="523" t="s">
        <v>805</v>
      </c>
      <c r="H25" s="523"/>
      <c r="I25" s="523"/>
      <c r="J25" s="523"/>
    </row>
    <row r="26" spans="3:10" ht="14.25" x14ac:dyDescent="0.2">
      <c r="D26" s="523"/>
      <c r="E26" s="523"/>
      <c r="F26" s="523"/>
      <c r="G26" s="523"/>
      <c r="H26" s="523"/>
      <c r="I26" s="523"/>
      <c r="J26" s="523"/>
    </row>
    <row r="27" spans="3:10" ht="14.25" x14ac:dyDescent="0.2">
      <c r="D27" s="523"/>
      <c r="F27" s="528" t="s">
        <v>746</v>
      </c>
    </row>
    <row r="28" spans="3:10" ht="14.25" x14ac:dyDescent="0.2">
      <c r="D28" s="523"/>
      <c r="E28" s="523"/>
      <c r="F28" s="523"/>
      <c r="G28" s="523" t="s">
        <v>807</v>
      </c>
      <c r="H28" s="523"/>
      <c r="I28" s="523"/>
      <c r="J28" s="523"/>
    </row>
    <row r="29" spans="3:10" ht="14.25" x14ac:dyDescent="0.2">
      <c r="D29" s="523"/>
      <c r="E29" s="523"/>
      <c r="F29" s="523"/>
      <c r="G29" s="523" t="s">
        <v>808</v>
      </c>
      <c r="H29" s="523"/>
      <c r="I29" s="523"/>
      <c r="J29" s="523"/>
    </row>
    <row r="30" spans="3:10" ht="14.25" x14ac:dyDescent="0.2">
      <c r="D30" s="523"/>
      <c r="E30" s="523"/>
      <c r="F30" s="523"/>
      <c r="G30" s="523"/>
      <c r="H30" s="523"/>
      <c r="I30" s="523"/>
      <c r="J30" s="523"/>
    </row>
    <row r="31" spans="3:10" ht="15" x14ac:dyDescent="0.25">
      <c r="D31" s="526" t="s">
        <v>747</v>
      </c>
      <c r="E31" s="527" t="s">
        <v>809</v>
      </c>
      <c r="F31" s="523"/>
      <c r="G31" s="523"/>
      <c r="H31" s="523"/>
      <c r="I31" s="523"/>
      <c r="J31" s="523"/>
    </row>
    <row r="32" spans="3:10" ht="14.25" x14ac:dyDescent="0.2">
      <c r="D32" s="523"/>
      <c r="E32" s="523"/>
      <c r="F32" s="523"/>
      <c r="G32" s="523"/>
      <c r="H32" s="523"/>
      <c r="I32" s="523"/>
      <c r="J32" s="523"/>
    </row>
    <row r="33" spans="3:15" ht="14.25" x14ac:dyDescent="0.2">
      <c r="D33" s="523"/>
      <c r="E33" s="523"/>
      <c r="F33" s="523"/>
      <c r="G33" s="523"/>
      <c r="H33" s="523"/>
      <c r="I33" s="523"/>
      <c r="J33" s="523"/>
    </row>
    <row r="34" spans="3:15" ht="15.75" x14ac:dyDescent="0.25">
      <c r="C34" s="522" t="s">
        <v>748</v>
      </c>
      <c r="D34" s="526"/>
      <c r="E34" s="523"/>
      <c r="F34" s="523"/>
      <c r="G34" s="523"/>
      <c r="H34" s="523"/>
      <c r="I34" s="523"/>
      <c r="J34" s="523"/>
      <c r="K34" s="523"/>
      <c r="L34" s="523"/>
      <c r="M34" s="523"/>
      <c r="N34" s="523"/>
      <c r="O34" s="523"/>
    </row>
    <row r="35" spans="3:15" ht="15" x14ac:dyDescent="0.25">
      <c r="C35" s="523"/>
      <c r="D35" s="526"/>
      <c r="E35" s="523"/>
      <c r="F35" s="523"/>
      <c r="G35" s="523"/>
      <c r="H35" s="523"/>
      <c r="I35" s="523"/>
      <c r="J35" s="523"/>
      <c r="K35" s="523"/>
      <c r="L35" s="523"/>
      <c r="M35" s="523"/>
      <c r="N35" s="523"/>
      <c r="O35" s="523"/>
    </row>
    <row r="36" spans="3:15" ht="15" x14ac:dyDescent="0.25">
      <c r="C36" s="523"/>
      <c r="D36" s="596" t="s">
        <v>574</v>
      </c>
      <c r="E36" s="528" t="s">
        <v>749</v>
      </c>
      <c r="F36" s="523"/>
      <c r="G36" s="523"/>
      <c r="H36" s="523"/>
      <c r="I36" s="523"/>
      <c r="J36" s="523"/>
      <c r="K36" s="523"/>
      <c r="L36" s="523"/>
      <c r="M36" s="523"/>
      <c r="N36" s="523"/>
      <c r="O36" s="523"/>
    </row>
    <row r="37" spans="3:15" ht="14.25" x14ac:dyDescent="0.2">
      <c r="C37" s="523"/>
      <c r="D37" s="529"/>
      <c r="E37" s="523"/>
      <c r="F37" s="523"/>
      <c r="G37" s="523"/>
      <c r="H37" s="523"/>
      <c r="I37" s="523"/>
      <c r="J37" s="523"/>
      <c r="K37" s="523"/>
      <c r="L37" s="523"/>
      <c r="M37" s="523"/>
      <c r="N37" s="523"/>
      <c r="O37" s="523"/>
    </row>
    <row r="38" spans="3:15" ht="15" x14ac:dyDescent="0.25">
      <c r="C38" s="523"/>
      <c r="D38" s="530" t="s">
        <v>750</v>
      </c>
      <c r="E38" s="528" t="s">
        <v>751</v>
      </c>
      <c r="F38" s="523"/>
      <c r="G38" s="523"/>
      <c r="H38" s="523"/>
      <c r="I38" s="523"/>
      <c r="J38" s="523"/>
      <c r="K38" s="523"/>
      <c r="L38" s="523"/>
      <c r="M38" s="523"/>
      <c r="N38" s="523"/>
      <c r="O38" s="523"/>
    </row>
    <row r="39" spans="3:15" ht="14.25" x14ac:dyDescent="0.2">
      <c r="C39" s="523"/>
      <c r="D39" s="529"/>
      <c r="E39" s="523"/>
      <c r="F39" s="523"/>
      <c r="G39" s="523"/>
      <c r="H39" s="523"/>
      <c r="I39" s="523"/>
      <c r="J39" s="523"/>
      <c r="K39" s="523"/>
      <c r="L39" s="523"/>
      <c r="M39" s="523"/>
      <c r="N39" s="523"/>
      <c r="O39" s="523"/>
    </row>
    <row r="40" spans="3:15" ht="15" x14ac:dyDescent="0.25">
      <c r="C40" s="523"/>
      <c r="D40" s="531" t="s">
        <v>752</v>
      </c>
      <c r="E40" s="528" t="s">
        <v>753</v>
      </c>
      <c r="F40" s="523"/>
      <c r="G40" s="523"/>
      <c r="H40" s="523"/>
      <c r="I40" s="523"/>
      <c r="J40" s="523"/>
      <c r="K40" s="523"/>
      <c r="L40" s="523"/>
      <c r="M40" s="523"/>
      <c r="N40" s="523"/>
      <c r="O40" s="523"/>
    </row>
    <row r="41" spans="3:15" ht="15" x14ac:dyDescent="0.25">
      <c r="C41" s="523"/>
      <c r="D41" s="526"/>
      <c r="E41" s="523" t="s">
        <v>754</v>
      </c>
      <c r="F41" s="523"/>
      <c r="G41" s="523"/>
      <c r="H41" s="523"/>
      <c r="I41" s="523"/>
      <c r="J41" s="523"/>
      <c r="K41" s="523"/>
      <c r="L41" s="523"/>
      <c r="M41" s="532"/>
      <c r="N41" s="523" t="s">
        <v>755</v>
      </c>
      <c r="O41" s="523"/>
    </row>
    <row r="45" spans="3:15" ht="15" x14ac:dyDescent="0.2">
      <c r="C45" s="522" t="s">
        <v>757</v>
      </c>
    </row>
    <row r="47" spans="3:15" ht="14.25" x14ac:dyDescent="0.2">
      <c r="D47" s="523" t="s">
        <v>758</v>
      </c>
    </row>
    <row r="48" spans="3:15" ht="14.25" x14ac:dyDescent="0.2">
      <c r="D48" s="523" t="s">
        <v>759</v>
      </c>
    </row>
    <row r="53" spans="2:4" ht="15" x14ac:dyDescent="0.2">
      <c r="C53" s="522" t="s">
        <v>756</v>
      </c>
    </row>
    <row r="55" spans="2:4" ht="15.75" x14ac:dyDescent="0.25">
      <c r="B55" s="533" t="s">
        <v>760</v>
      </c>
    </row>
    <row r="61" spans="2:4" ht="15" x14ac:dyDescent="0.25">
      <c r="C61" s="534" t="s">
        <v>761</v>
      </c>
      <c r="D61" s="535" t="s">
        <v>762</v>
      </c>
    </row>
    <row r="62" spans="2:4" ht="15" x14ac:dyDescent="0.25">
      <c r="C62" s="523"/>
      <c r="D62" s="535" t="s">
        <v>763</v>
      </c>
    </row>
    <row r="66" spans="2:2" ht="15.75" x14ac:dyDescent="0.25">
      <c r="B66" s="533" t="s">
        <v>764</v>
      </c>
    </row>
    <row r="82" spans="2:4" ht="15" x14ac:dyDescent="0.25">
      <c r="C82" s="534" t="s">
        <v>761</v>
      </c>
      <c r="D82" s="535" t="s">
        <v>765</v>
      </c>
    </row>
    <row r="83" spans="2:4" ht="15" x14ac:dyDescent="0.25">
      <c r="C83" s="523"/>
      <c r="D83" s="535"/>
    </row>
    <row r="84" spans="2:4" ht="14.25" x14ac:dyDescent="0.2">
      <c r="C84" s="523"/>
      <c r="D84" s="523"/>
    </row>
    <row r="86" spans="2:4" ht="15.75" x14ac:dyDescent="0.25">
      <c r="B86" s="533" t="s">
        <v>766</v>
      </c>
    </row>
    <row r="108" spans="3:5" ht="15" x14ac:dyDescent="0.25">
      <c r="C108" s="534" t="s">
        <v>761</v>
      </c>
      <c r="D108" s="535" t="s">
        <v>767</v>
      </c>
      <c r="E108" s="523"/>
    </row>
    <row r="109" spans="3:5" ht="14.25" x14ac:dyDescent="0.2">
      <c r="C109" s="523"/>
      <c r="D109" s="523"/>
      <c r="E109" s="523"/>
    </row>
    <row r="110" spans="3:5" ht="15" x14ac:dyDescent="0.25">
      <c r="C110" s="534" t="s">
        <v>761</v>
      </c>
      <c r="D110" s="535" t="s">
        <v>768</v>
      </c>
      <c r="E110" s="523"/>
    </row>
    <row r="111" spans="3:5" ht="15" x14ac:dyDescent="0.25">
      <c r="C111" s="523"/>
      <c r="D111" s="536" t="s">
        <v>769</v>
      </c>
      <c r="E111" s="523"/>
    </row>
    <row r="112" spans="3:5" ht="15" x14ac:dyDescent="0.25">
      <c r="C112" s="523"/>
      <c r="D112" s="536" t="s">
        <v>770</v>
      </c>
      <c r="E112" s="523"/>
    </row>
    <row r="113" spans="2:5" ht="15" x14ac:dyDescent="0.25">
      <c r="C113" s="523"/>
      <c r="D113" s="523"/>
      <c r="E113" s="536" t="s">
        <v>771</v>
      </c>
    </row>
    <row r="114" spans="2:5" ht="15" x14ac:dyDescent="0.25">
      <c r="C114" s="534"/>
      <c r="D114" s="536"/>
      <c r="E114" s="536" t="s">
        <v>772</v>
      </c>
    </row>
    <row r="115" spans="2:5" ht="14.25" x14ac:dyDescent="0.2">
      <c r="C115" s="523"/>
      <c r="D115" s="523"/>
      <c r="E115" s="523"/>
    </row>
    <row r="116" spans="2:5" ht="15" x14ac:dyDescent="0.25">
      <c r="C116" s="534" t="s">
        <v>761</v>
      </c>
      <c r="D116" s="535" t="s">
        <v>773</v>
      </c>
      <c r="E116" s="523"/>
    </row>
    <row r="120" spans="2:5" ht="15.75" x14ac:dyDescent="0.25">
      <c r="B120" s="533" t="s">
        <v>774</v>
      </c>
    </row>
    <row r="133" spans="2:4" ht="15" x14ac:dyDescent="0.25">
      <c r="C133" s="534" t="s">
        <v>761</v>
      </c>
      <c r="D133" s="535" t="s">
        <v>775</v>
      </c>
    </row>
    <row r="134" spans="2:4" ht="14.25" x14ac:dyDescent="0.2">
      <c r="C134" s="523"/>
      <c r="D134" s="523"/>
    </row>
    <row r="135" spans="2:4" ht="15" x14ac:dyDescent="0.25">
      <c r="C135" s="534" t="s">
        <v>761</v>
      </c>
      <c r="D135" s="535" t="s">
        <v>768</v>
      </c>
    </row>
    <row r="139" spans="2:4" ht="15.75" x14ac:dyDescent="0.25">
      <c r="B139" s="533" t="s">
        <v>776</v>
      </c>
    </row>
    <row r="171" spans="3:6" ht="15" x14ac:dyDescent="0.25">
      <c r="C171" s="534" t="s">
        <v>761</v>
      </c>
      <c r="D171" s="535" t="s">
        <v>783</v>
      </c>
    </row>
    <row r="172" spans="3:6" ht="14.25" x14ac:dyDescent="0.2">
      <c r="C172" s="523"/>
    </row>
    <row r="173" spans="3:6" ht="15" x14ac:dyDescent="0.25">
      <c r="D173" s="534" t="s">
        <v>761</v>
      </c>
      <c r="E173" s="535" t="s">
        <v>777</v>
      </c>
    </row>
    <row r="174" spans="3:6" ht="15" x14ac:dyDescent="0.25">
      <c r="F174" s="535" t="s">
        <v>778</v>
      </c>
    </row>
    <row r="176" spans="3:6" ht="15" x14ac:dyDescent="0.25">
      <c r="F176" s="535" t="s">
        <v>781</v>
      </c>
    </row>
    <row r="177" spans="2:6" ht="15" x14ac:dyDescent="0.25">
      <c r="C177" s="534"/>
      <c r="D177" s="535"/>
      <c r="F177" s="535" t="s">
        <v>782</v>
      </c>
    </row>
    <row r="179" spans="2:6" ht="15" x14ac:dyDescent="0.25">
      <c r="D179" s="534" t="s">
        <v>761</v>
      </c>
      <c r="E179" s="535" t="s">
        <v>779</v>
      </c>
    </row>
    <row r="180" spans="2:6" ht="15" x14ac:dyDescent="0.25">
      <c r="F180" s="535" t="s">
        <v>780</v>
      </c>
    </row>
    <row r="185" spans="2:6" ht="15.75" x14ac:dyDescent="0.25">
      <c r="B185" s="533" t="s">
        <v>784</v>
      </c>
    </row>
    <row r="218" spans="2:5" ht="15" x14ac:dyDescent="0.25">
      <c r="D218" s="534" t="s">
        <v>761</v>
      </c>
      <c r="E218" s="537" t="s">
        <v>785</v>
      </c>
    </row>
    <row r="219" spans="2:5" ht="15" x14ac:dyDescent="0.25">
      <c r="D219" s="534"/>
      <c r="E219" s="537" t="s">
        <v>786</v>
      </c>
    </row>
    <row r="220" spans="2:5" ht="15" x14ac:dyDescent="0.25">
      <c r="E220" s="537" t="s">
        <v>787</v>
      </c>
    </row>
    <row r="223" spans="2:5" ht="15.75" x14ac:dyDescent="0.25">
      <c r="B223" s="533" t="s">
        <v>788</v>
      </c>
    </row>
    <row r="250" spans="2:5" ht="15" x14ac:dyDescent="0.25">
      <c r="D250" s="534" t="s">
        <v>761</v>
      </c>
      <c r="E250" s="537" t="s">
        <v>789</v>
      </c>
    </row>
    <row r="251" spans="2:5" ht="15" x14ac:dyDescent="0.25">
      <c r="E251" s="537" t="s">
        <v>790</v>
      </c>
    </row>
    <row r="254" spans="2:5" ht="15.75" x14ac:dyDescent="0.25">
      <c r="B254" s="533" t="s">
        <v>791</v>
      </c>
    </row>
    <row r="276" spans="3:6" ht="15" x14ac:dyDescent="0.25">
      <c r="D276" s="534" t="s">
        <v>761</v>
      </c>
      <c r="E276" s="537" t="s">
        <v>792</v>
      </c>
      <c r="F276" s="187"/>
    </row>
    <row r="277" spans="3:6" ht="15" x14ac:dyDescent="0.25">
      <c r="D277" s="187"/>
      <c r="E277" s="537" t="s">
        <v>793</v>
      </c>
      <c r="F277" s="187"/>
    </row>
    <row r="281" spans="3:6" ht="15" x14ac:dyDescent="0.2">
      <c r="C281" s="522" t="s">
        <v>794</v>
      </c>
    </row>
    <row r="282" spans="3:6" ht="14.25" x14ac:dyDescent="0.2">
      <c r="D282" s="523" t="s">
        <v>795</v>
      </c>
    </row>
  </sheetData>
  <sheetProtection algorithmName="SHA-512" hashValue="folDn67YytVL3qPTUS5rOzrD54UASe5OjF2uNYgJHtmQZvXyXwATS6E1LPQgE37iI2rbUyTlwKW8ijJuWOziUQ==" saltValue="3Uvq4Rnrs85jBjt40WNFp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BZ226"/>
  <sheetViews>
    <sheetView showGridLines="0" showRowColHeaders="0" zoomScaleNormal="100" workbookViewId="0">
      <pane ySplit="5" topLeftCell="A6" activePane="bottomLeft" state="frozen"/>
      <selection pane="bottomLeft" activeCell="D6" sqref="D6:L6"/>
    </sheetView>
  </sheetViews>
  <sheetFormatPr baseColWidth="10" defaultRowHeight="12.75" x14ac:dyDescent="0.2"/>
  <cols>
    <col min="1" max="1" width="0.140625" style="45" customWidth="1"/>
    <col min="2" max="2" width="4.85546875" style="2" customWidth="1"/>
    <col min="3" max="3" width="35.85546875" style="2" customWidth="1"/>
    <col min="4" max="4" width="12.5703125" style="6" customWidth="1"/>
    <col min="5" max="5" width="11" style="6" customWidth="1"/>
    <col min="6" max="8" width="12.7109375" style="2" customWidth="1"/>
    <col min="9" max="11" width="12.7109375" style="6" customWidth="1"/>
    <col min="12" max="12" width="34.42578125" style="8" customWidth="1"/>
    <col min="13" max="13" width="19.5703125" style="8" customWidth="1"/>
    <col min="14" max="14" width="2.28515625" style="14" customWidth="1"/>
    <col min="15" max="15" width="8.85546875" style="14" customWidth="1"/>
    <col min="16" max="16" width="19.5703125" style="26" customWidth="1"/>
    <col min="17" max="17" width="6.140625" style="1" customWidth="1"/>
    <col min="18" max="76" width="11.42578125" style="1"/>
    <col min="77" max="16384" width="11.42578125" style="2"/>
  </cols>
  <sheetData>
    <row r="1" spans="1:78" s="46" customFormat="1" ht="20.100000000000001" customHeight="1" x14ac:dyDescent="0.2">
      <c r="A1" s="45"/>
      <c r="B1" s="45"/>
      <c r="C1" s="80"/>
      <c r="D1" s="80"/>
      <c r="E1" s="80"/>
      <c r="F1" s="81"/>
      <c r="G1" s="81"/>
      <c r="H1" s="81"/>
      <c r="I1" s="82"/>
      <c r="J1" s="82"/>
      <c r="K1" s="82"/>
      <c r="L1" s="82"/>
      <c r="M1" s="82"/>
      <c r="N1" s="47"/>
      <c r="O1" s="5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45"/>
      <c r="AB1" s="45"/>
      <c r="AC1" s="45"/>
      <c r="AD1" s="45"/>
    </row>
    <row r="2" spans="1:78" s="55" customFormat="1" ht="20.100000000000001" customHeight="1" x14ac:dyDescent="0.3">
      <c r="C2" s="64"/>
      <c r="D2" s="74"/>
      <c r="E2" s="74"/>
      <c r="I2" s="75"/>
      <c r="J2" s="75"/>
      <c r="K2" s="75"/>
      <c r="L2" s="75"/>
      <c r="N2" s="79"/>
      <c r="O2" s="438"/>
      <c r="P2" s="559"/>
      <c r="Q2" s="560"/>
      <c r="R2" s="10"/>
      <c r="S2" s="10"/>
      <c r="T2" s="10"/>
      <c r="U2" s="10"/>
      <c r="V2" s="10"/>
      <c r="W2" s="10"/>
      <c r="X2" s="10"/>
      <c r="Y2" s="10"/>
      <c r="Z2" s="10"/>
    </row>
    <row r="3" spans="1:78" s="45" customFormat="1" ht="20.100000000000001" customHeight="1" x14ac:dyDescent="0.2">
      <c r="I3" s="56"/>
      <c r="J3" s="56"/>
      <c r="K3" s="56"/>
      <c r="L3" s="56"/>
      <c r="M3" s="56"/>
      <c r="N3" s="47"/>
      <c r="O3" s="5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78" s="45" customFormat="1" ht="20.100000000000001" customHeight="1" x14ac:dyDescent="0.2">
      <c r="D4" s="56"/>
      <c r="E4" s="56"/>
      <c r="I4" s="56"/>
      <c r="J4" s="56"/>
      <c r="K4" s="56"/>
      <c r="L4" s="56"/>
      <c r="M4" s="56"/>
      <c r="N4" s="47"/>
      <c r="O4" s="5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78" s="45" customFormat="1" ht="20.100000000000001" customHeight="1" x14ac:dyDescent="0.2">
      <c r="D5" s="56"/>
      <c r="E5" s="56"/>
      <c r="I5" s="56"/>
      <c r="J5" s="56"/>
      <c r="K5" s="56"/>
      <c r="N5" s="47"/>
      <c r="O5" s="5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78" ht="20.100000000000001" customHeight="1" x14ac:dyDescent="0.2">
      <c r="B6" s="1"/>
      <c r="D6" s="597"/>
      <c r="E6" s="598"/>
      <c r="F6" s="598"/>
      <c r="G6" s="598"/>
      <c r="H6" s="598"/>
      <c r="I6" s="598"/>
      <c r="J6" s="598"/>
      <c r="K6" s="598"/>
      <c r="L6" s="599"/>
      <c r="M6" s="45"/>
      <c r="N6" s="4"/>
      <c r="O6" s="4"/>
      <c r="P6" s="4"/>
      <c r="Q6" s="5"/>
    </row>
    <row r="7" spans="1:78" ht="20.100000000000001" customHeight="1" x14ac:dyDescent="0.25">
      <c r="B7" s="1"/>
      <c r="C7" s="90" t="s">
        <v>500</v>
      </c>
      <c r="D7" s="597"/>
      <c r="E7" s="598"/>
      <c r="F7" s="598"/>
      <c r="G7" s="598"/>
      <c r="H7" s="598"/>
      <c r="I7" s="598"/>
      <c r="J7" s="598"/>
      <c r="K7" s="598"/>
      <c r="L7" s="599"/>
      <c r="M7" s="45"/>
      <c r="N7" s="4"/>
      <c r="O7" s="4"/>
      <c r="P7" s="4"/>
      <c r="Q7" s="5"/>
    </row>
    <row r="8" spans="1:78" ht="20.100000000000001" customHeight="1" x14ac:dyDescent="0.2">
      <c r="B8" s="1"/>
      <c r="C8" s="4"/>
      <c r="D8" s="597"/>
      <c r="E8" s="598"/>
      <c r="F8" s="598"/>
      <c r="G8" s="598"/>
      <c r="H8" s="598"/>
      <c r="I8" s="598"/>
      <c r="J8" s="598"/>
      <c r="K8" s="598"/>
      <c r="L8" s="599"/>
      <c r="M8" s="45"/>
      <c r="N8" s="4"/>
      <c r="O8" s="4"/>
      <c r="P8" s="4"/>
      <c r="Q8" s="5"/>
    </row>
    <row r="9" spans="1:78" ht="20.100000000000001" customHeight="1" x14ac:dyDescent="0.2">
      <c r="B9" s="1"/>
      <c r="F9" s="3"/>
      <c r="G9" s="3"/>
      <c r="H9" s="3"/>
      <c r="I9" s="9"/>
      <c r="J9" s="9"/>
      <c r="K9" s="9"/>
      <c r="L9" s="7"/>
      <c r="M9" s="45"/>
      <c r="N9" s="4"/>
      <c r="O9" s="4"/>
      <c r="P9" s="4"/>
      <c r="Q9" s="4"/>
    </row>
    <row r="10" spans="1:78" ht="20.100000000000001" customHeight="1" x14ac:dyDescent="0.2">
      <c r="B10" s="1"/>
      <c r="C10" s="435" t="s">
        <v>803</v>
      </c>
      <c r="F10" s="3"/>
      <c r="G10" s="3"/>
      <c r="H10" s="3"/>
      <c r="I10" s="9"/>
      <c r="J10" s="9"/>
      <c r="K10" s="9"/>
      <c r="L10" s="436" t="s">
        <v>699</v>
      </c>
      <c r="M10" s="437">
        <f ca="1">TODAY()</f>
        <v>43924</v>
      </c>
      <c r="N10" s="4"/>
      <c r="O10" s="4"/>
      <c r="P10" s="4"/>
      <c r="Q10" s="4"/>
    </row>
    <row r="11" spans="1:78" ht="20.100000000000001" customHeight="1" x14ac:dyDescent="0.3">
      <c r="A11" s="76"/>
      <c r="B11" s="77"/>
      <c r="C11" s="453" t="s">
        <v>269</v>
      </c>
      <c r="D11" s="448"/>
      <c r="E11" s="448"/>
      <c r="F11" s="449"/>
      <c r="G11" s="449"/>
      <c r="H11" s="449"/>
      <c r="I11" s="450"/>
      <c r="J11" s="450"/>
      <c r="K11" s="450"/>
      <c r="L11" s="451"/>
      <c r="M11" s="452"/>
      <c r="N11" s="47"/>
      <c r="O11" s="5"/>
      <c r="P11" s="5"/>
      <c r="BY11" s="1"/>
      <c r="BZ11" s="1"/>
    </row>
    <row r="12" spans="1:78" ht="20.100000000000001" customHeight="1" x14ac:dyDescent="0.2">
      <c r="A12" s="77"/>
      <c r="B12" s="77"/>
      <c r="C12" s="45"/>
      <c r="D12" s="45"/>
      <c r="E12" s="45"/>
      <c r="F12" s="45"/>
      <c r="G12" s="45"/>
      <c r="H12" s="45"/>
      <c r="I12" s="56"/>
      <c r="J12" s="56"/>
      <c r="K12" s="56"/>
      <c r="L12" s="56"/>
      <c r="M12" s="56"/>
      <c r="N12" s="57"/>
      <c r="O12" s="5"/>
      <c r="P12" s="5"/>
      <c r="BY12" s="1"/>
      <c r="BZ12" s="1"/>
    </row>
    <row r="13" spans="1:78" ht="20.100000000000001" customHeight="1" x14ac:dyDescent="0.25">
      <c r="C13" s="15" t="s">
        <v>272</v>
      </c>
      <c r="F13" s="15" t="s">
        <v>273</v>
      </c>
      <c r="G13" s="15"/>
      <c r="H13" s="15"/>
      <c r="L13" s="15" t="s">
        <v>18</v>
      </c>
      <c r="M13" s="7"/>
      <c r="P13" s="14"/>
      <c r="BY13" s="1"/>
      <c r="BZ13" s="1"/>
    </row>
    <row r="14" spans="1:78" s="16" customFormat="1" ht="20.100000000000001" customHeight="1" x14ac:dyDescent="0.25">
      <c r="A14" s="78"/>
      <c r="C14" s="600" t="s">
        <v>195</v>
      </c>
      <c r="D14" s="17"/>
      <c r="E14" s="17"/>
      <c r="F14" s="601" t="s">
        <v>19</v>
      </c>
      <c r="G14" s="602"/>
      <c r="H14" s="603"/>
      <c r="I14" s="18"/>
      <c r="J14" s="18"/>
      <c r="K14" s="18"/>
      <c r="L14" s="134">
        <f>'BdD Bâtiment'!C6</f>
        <v>-15</v>
      </c>
      <c r="M14" s="19"/>
      <c r="N14" s="20"/>
      <c r="O14" s="20"/>
      <c r="P14" s="20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</row>
    <row r="15" spans="1:78" ht="20.100000000000001" customHeight="1" x14ac:dyDescent="0.2">
      <c r="C15" s="22"/>
      <c r="D15" s="23"/>
      <c r="E15" s="23"/>
      <c r="L15" s="7"/>
      <c r="M15" s="7"/>
      <c r="O15" s="92"/>
      <c r="BY15" s="1"/>
      <c r="BZ15" s="1"/>
    </row>
    <row r="16" spans="1:78" ht="20.100000000000001" customHeight="1" x14ac:dyDescent="0.3">
      <c r="C16" s="453" t="s">
        <v>452</v>
      </c>
      <c r="D16" s="450"/>
      <c r="E16" s="450"/>
      <c r="F16" s="449"/>
      <c r="G16" s="449"/>
      <c r="H16" s="449"/>
      <c r="I16" s="450"/>
      <c r="J16" s="450"/>
      <c r="K16" s="450"/>
      <c r="L16" s="450"/>
      <c r="M16" s="452"/>
      <c r="O16" s="92"/>
      <c r="P16" s="14"/>
      <c r="BY16" s="1"/>
      <c r="BZ16" s="1"/>
    </row>
    <row r="17" spans="3:26" s="45" customFormat="1" ht="20.100000000000001" customHeight="1" x14ac:dyDescent="0.25">
      <c r="C17" s="53"/>
      <c r="D17" s="54"/>
      <c r="E17" s="54"/>
      <c r="F17" s="55"/>
      <c r="G17" s="55"/>
      <c r="H17" s="55"/>
      <c r="I17" s="56"/>
      <c r="J17" s="56"/>
      <c r="K17" s="56"/>
      <c r="L17" s="57"/>
      <c r="M17" s="57"/>
      <c r="N17" s="50"/>
      <c r="O17" s="92"/>
      <c r="P17" s="1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3:26" ht="20.100000000000001" customHeight="1" x14ac:dyDescent="0.25">
      <c r="C18" s="15" t="s">
        <v>492</v>
      </c>
      <c r="D18" s="23"/>
      <c r="E18" s="23"/>
      <c r="F18" s="15" t="s">
        <v>493</v>
      </c>
      <c r="G18" s="15"/>
      <c r="H18" s="15"/>
      <c r="I18" s="1"/>
      <c r="J18" s="1"/>
      <c r="K18" s="1"/>
      <c r="L18" s="15" t="s">
        <v>62</v>
      </c>
      <c r="M18" s="1"/>
      <c r="N18" s="5"/>
      <c r="O18" s="92"/>
      <c r="P18" s="14"/>
      <c r="T18" s="367"/>
      <c r="U18" s="367"/>
      <c r="V18" s="367"/>
      <c r="W18" s="367"/>
      <c r="X18" s="367"/>
    </row>
    <row r="19" spans="3:26" ht="20.100000000000001" customHeight="1" x14ac:dyDescent="0.2">
      <c r="C19" s="600">
        <v>120</v>
      </c>
      <c r="D19" s="23"/>
      <c r="E19" s="23"/>
      <c r="F19" s="601">
        <v>2.5</v>
      </c>
      <c r="G19" s="602"/>
      <c r="H19" s="603"/>
      <c r="I19" s="1"/>
      <c r="J19" s="1"/>
      <c r="K19" s="1"/>
      <c r="L19" s="600">
        <v>20</v>
      </c>
      <c r="M19" s="1"/>
      <c r="N19" s="5"/>
      <c r="O19" s="92"/>
      <c r="P19" s="14"/>
      <c r="T19" s="367"/>
      <c r="U19" s="367"/>
      <c r="V19" s="439"/>
      <c r="W19" s="440"/>
      <c r="X19" s="367"/>
    </row>
    <row r="20" spans="3:26" ht="20.100000000000001" customHeight="1" x14ac:dyDescent="0.25">
      <c r="C20" s="15"/>
      <c r="D20" s="23"/>
      <c r="E20" s="23"/>
      <c r="F20" s="10"/>
      <c r="G20" s="10"/>
      <c r="H20" s="10"/>
      <c r="L20" s="7"/>
      <c r="M20" s="7"/>
      <c r="O20" s="92"/>
      <c r="P20" s="14"/>
      <c r="T20" s="367"/>
      <c r="U20" s="368"/>
      <c r="V20" s="369"/>
      <c r="W20" s="440"/>
      <c r="X20" s="367"/>
    </row>
    <row r="21" spans="3:26" ht="20.100000000000001" customHeight="1" x14ac:dyDescent="0.25">
      <c r="C21" s="15" t="s">
        <v>64</v>
      </c>
      <c r="D21" s="23"/>
      <c r="E21" s="23"/>
      <c r="F21" s="15" t="s">
        <v>65</v>
      </c>
      <c r="G21" s="15"/>
      <c r="H21" s="15"/>
      <c r="L21" s="15" t="s">
        <v>69</v>
      </c>
      <c r="M21" s="7"/>
      <c r="O21" s="92"/>
      <c r="P21" s="14"/>
      <c r="T21" s="367"/>
      <c r="U21" s="368"/>
      <c r="V21" s="369"/>
      <c r="W21" s="367"/>
      <c r="X21" s="367"/>
    </row>
    <row r="22" spans="3:26" ht="20.100000000000001" customHeight="1" x14ac:dyDescent="0.25">
      <c r="C22" s="600" t="s">
        <v>337</v>
      </c>
      <c r="D22" s="23"/>
      <c r="E22" s="23"/>
      <c r="F22" s="601" t="s">
        <v>74</v>
      </c>
      <c r="G22" s="602"/>
      <c r="H22" s="603"/>
      <c r="L22" s="600" t="s">
        <v>357</v>
      </c>
      <c r="M22" s="7"/>
      <c r="O22" s="92"/>
      <c r="P22" s="14"/>
      <c r="T22" s="367"/>
      <c r="U22" s="368"/>
      <c r="V22" s="369"/>
      <c r="W22" s="367"/>
      <c r="X22" s="367"/>
    </row>
    <row r="23" spans="3:26" ht="20.100000000000001" customHeight="1" x14ac:dyDescent="0.25">
      <c r="I23" s="2"/>
      <c r="J23" s="2"/>
      <c r="K23" s="2"/>
      <c r="M23" s="7"/>
      <c r="T23" s="367"/>
      <c r="U23" s="368"/>
      <c r="V23" s="369"/>
      <c r="W23" s="367"/>
      <c r="X23" s="367"/>
    </row>
    <row r="24" spans="3:26" ht="20.100000000000001" customHeight="1" x14ac:dyDescent="0.25">
      <c r="C24" s="15" t="s">
        <v>450</v>
      </c>
      <c r="D24" s="23"/>
      <c r="E24" s="23"/>
      <c r="F24" s="15" t="s">
        <v>204</v>
      </c>
      <c r="G24" s="15"/>
      <c r="H24" s="15"/>
      <c r="L24" s="15" t="s">
        <v>498</v>
      </c>
      <c r="O24" s="441" t="s">
        <v>32</v>
      </c>
      <c r="P24" s="442"/>
      <c r="T24" s="367"/>
      <c r="U24" s="368"/>
      <c r="V24" s="369"/>
      <c r="W24" s="367"/>
      <c r="X24" s="367"/>
    </row>
    <row r="25" spans="3:26" ht="20.100000000000001" customHeight="1" x14ac:dyDescent="0.25">
      <c r="C25" s="600" t="s">
        <v>499</v>
      </c>
      <c r="D25" s="23"/>
      <c r="E25" s="23"/>
      <c r="F25" s="601" t="s">
        <v>499</v>
      </c>
      <c r="G25" s="602"/>
      <c r="H25" s="603"/>
      <c r="L25" s="600">
        <v>60</v>
      </c>
      <c r="O25" s="443" t="s">
        <v>340</v>
      </c>
      <c r="P25" s="442"/>
      <c r="T25" s="367"/>
      <c r="U25" s="368"/>
      <c r="V25" s="369"/>
      <c r="W25" s="367"/>
      <c r="X25" s="367"/>
    </row>
    <row r="26" spans="3:26" ht="20.100000000000001" customHeight="1" x14ac:dyDescent="0.25">
      <c r="D26" s="99">
        <f>IF(OR(C25="Radiateurs",F25="Radiateurs"),1,0)</f>
        <v>1</v>
      </c>
      <c r="E26" s="54"/>
      <c r="F26" s="54"/>
      <c r="G26" s="54"/>
      <c r="H26" s="54"/>
      <c r="I26" s="56"/>
      <c r="J26" s="56"/>
      <c r="K26" s="56"/>
      <c r="O26" s="23"/>
      <c r="P26" s="7"/>
      <c r="T26" s="367"/>
      <c r="U26" s="368"/>
      <c r="V26" s="369"/>
      <c r="W26" s="367"/>
      <c r="X26" s="367"/>
    </row>
    <row r="27" spans="3:26" ht="20.100000000000001" customHeight="1" x14ac:dyDescent="0.3">
      <c r="C27" s="453" t="s">
        <v>453</v>
      </c>
      <c r="D27" s="450"/>
      <c r="E27" s="450"/>
      <c r="F27" s="449"/>
      <c r="G27" s="449"/>
      <c r="H27" s="449"/>
      <c r="I27" s="450"/>
      <c r="J27" s="450"/>
      <c r="K27" s="450"/>
      <c r="L27" s="450"/>
      <c r="M27" s="452"/>
      <c r="T27" s="367"/>
      <c r="U27" s="368"/>
      <c r="V27" s="369"/>
      <c r="W27" s="367"/>
      <c r="X27" s="367"/>
    </row>
    <row r="28" spans="3:26" s="1" customFormat="1" ht="20.100000000000001" customHeight="1" x14ac:dyDescent="0.3">
      <c r="C28" s="366"/>
      <c r="D28" s="6"/>
      <c r="E28" s="6"/>
      <c r="I28" s="6"/>
      <c r="J28" s="6"/>
      <c r="K28" s="6"/>
      <c r="L28" s="6"/>
      <c r="M28" s="7"/>
      <c r="N28" s="14"/>
      <c r="O28" s="14"/>
      <c r="P28" s="26"/>
      <c r="T28" s="367"/>
      <c r="U28" s="368"/>
      <c r="V28" s="369"/>
      <c r="W28" s="367"/>
      <c r="X28" s="367"/>
    </row>
    <row r="29" spans="3:26" ht="20.100000000000001" customHeight="1" x14ac:dyDescent="0.25">
      <c r="C29" s="15" t="s">
        <v>33</v>
      </c>
      <c r="M29" s="7"/>
      <c r="T29" s="367"/>
      <c r="U29" s="367"/>
      <c r="V29" s="367"/>
      <c r="W29" s="367"/>
      <c r="X29" s="367"/>
    </row>
    <row r="30" spans="3:26" ht="20.100000000000001" customHeight="1" x14ac:dyDescent="0.2">
      <c r="C30" s="600" t="s">
        <v>196</v>
      </c>
      <c r="M30" s="7"/>
      <c r="O30" s="92"/>
      <c r="P30" s="14"/>
    </row>
    <row r="31" spans="3:26" ht="20.100000000000001" customHeight="1" x14ac:dyDescent="0.2">
      <c r="I31" s="2"/>
      <c r="J31" s="2"/>
      <c r="K31" s="2"/>
      <c r="M31" s="7"/>
      <c r="O31" s="92"/>
      <c r="P31" s="14"/>
    </row>
    <row r="32" spans="3:26" ht="20.100000000000001" customHeight="1" x14ac:dyDescent="0.25">
      <c r="C32" s="15" t="s">
        <v>501</v>
      </c>
      <c r="D32" s="2"/>
      <c r="E32" s="2"/>
      <c r="F32" s="15" t="s">
        <v>68</v>
      </c>
      <c r="G32" s="15"/>
      <c r="H32" s="15"/>
      <c r="M32" s="7"/>
      <c r="O32" s="92"/>
      <c r="P32" s="14"/>
    </row>
    <row r="33" spans="3:23" ht="20.100000000000001" customHeight="1" x14ac:dyDescent="0.2">
      <c r="C33" s="600">
        <v>4</v>
      </c>
      <c r="D33" s="2"/>
      <c r="E33" s="2"/>
      <c r="F33" s="601" t="s">
        <v>192</v>
      </c>
      <c r="G33" s="602"/>
      <c r="H33" s="603"/>
      <c r="M33" s="7"/>
      <c r="O33" s="92"/>
      <c r="P33" s="14"/>
    </row>
    <row r="34" spans="3:23" ht="20.100000000000001" customHeight="1" x14ac:dyDescent="0.2">
      <c r="M34" s="7"/>
      <c r="O34" s="92"/>
      <c r="P34" s="14"/>
    </row>
    <row r="35" spans="3:23" ht="20.100000000000001" customHeight="1" x14ac:dyDescent="0.25">
      <c r="C35" s="91" t="s">
        <v>418</v>
      </c>
      <c r="D35" s="2"/>
      <c r="F35" s="15" t="s">
        <v>203</v>
      </c>
      <c r="I35" s="2"/>
      <c r="J35" s="2"/>
      <c r="K35" s="2"/>
      <c r="M35" s="7"/>
      <c r="O35" s="92"/>
      <c r="P35" s="14"/>
    </row>
    <row r="36" spans="3:23" ht="20.100000000000001" customHeight="1" x14ac:dyDescent="0.2">
      <c r="C36" s="600">
        <v>4500</v>
      </c>
      <c r="D36" s="2" t="str">
        <f>VLOOKUP(C22,CONSO,2,FALSE)</f>
        <v>Litres de fioul</v>
      </c>
      <c r="F36" s="570">
        <f>'BdD Bâtiment'!C51</f>
        <v>1.8393714285714287</v>
      </c>
      <c r="G36" s="571"/>
      <c r="H36" s="571"/>
      <c r="I36" s="2"/>
      <c r="J36" s="2"/>
      <c r="K36" s="2"/>
      <c r="M36" s="7"/>
      <c r="O36" s="92"/>
      <c r="P36" s="14"/>
    </row>
    <row r="37" spans="3:23" ht="20.100000000000001" customHeight="1" x14ac:dyDescent="0.2">
      <c r="D37" s="2"/>
      <c r="E37" s="2"/>
      <c r="M37" s="7"/>
      <c r="O37" s="92"/>
      <c r="P37" s="14"/>
    </row>
    <row r="38" spans="3:23" ht="20.100000000000001" customHeight="1" x14ac:dyDescent="0.25">
      <c r="C38" s="15" t="s">
        <v>503</v>
      </c>
      <c r="D38" s="2"/>
      <c r="E38" s="2"/>
      <c r="F38" s="15" t="s">
        <v>17</v>
      </c>
      <c r="G38" s="15"/>
      <c r="H38" s="15"/>
      <c r="I38" s="2"/>
      <c r="J38" s="2"/>
      <c r="K38" s="2"/>
      <c r="M38" s="7"/>
      <c r="O38" s="92"/>
      <c r="P38" s="14"/>
      <c r="V38" s="6"/>
      <c r="W38" s="6"/>
    </row>
    <row r="39" spans="3:23" ht="20.100000000000001" customHeight="1" x14ac:dyDescent="0.2">
      <c r="C39" s="604">
        <v>0.9</v>
      </c>
      <c r="D39" s="2"/>
      <c r="E39" s="2"/>
      <c r="F39" s="561">
        <f>'BdD Bâtiment'!B56</f>
        <v>9.5</v>
      </c>
      <c r="G39" s="562"/>
      <c r="H39" s="563"/>
      <c r="I39" s="2"/>
      <c r="J39" s="2"/>
      <c r="K39" s="2"/>
      <c r="M39" s="7"/>
      <c r="O39" s="92"/>
      <c r="P39" s="14"/>
      <c r="V39" s="6"/>
      <c r="W39" s="6"/>
    </row>
    <row r="40" spans="3:23" ht="20.100000000000001" customHeight="1" x14ac:dyDescent="0.2">
      <c r="D40" s="2"/>
      <c r="E40" s="2"/>
      <c r="L40" s="8" t="s">
        <v>504</v>
      </c>
      <c r="M40" s="7"/>
      <c r="O40" s="92"/>
      <c r="P40" s="1"/>
    </row>
    <row r="41" spans="3:23" ht="20.100000000000001" customHeight="1" x14ac:dyDescent="0.3">
      <c r="C41" s="453" t="s">
        <v>700</v>
      </c>
      <c r="D41" s="450"/>
      <c r="E41" s="450"/>
      <c r="F41" s="449"/>
      <c r="G41" s="449"/>
      <c r="H41" s="449"/>
      <c r="I41" s="450"/>
      <c r="J41" s="450"/>
      <c r="K41" s="450"/>
      <c r="L41" s="450"/>
      <c r="M41" s="452"/>
      <c r="O41" s="92"/>
      <c r="P41" s="1"/>
    </row>
    <row r="42" spans="3:23" ht="20.100000000000001" customHeight="1" x14ac:dyDescent="0.3">
      <c r="C42" s="64"/>
      <c r="D42" s="56"/>
      <c r="E42" s="56"/>
      <c r="F42" s="45"/>
      <c r="G42" s="45"/>
      <c r="H42" s="45"/>
      <c r="I42" s="56"/>
      <c r="J42" s="56"/>
      <c r="K42" s="56"/>
      <c r="L42" s="56"/>
      <c r="M42" s="7"/>
      <c r="O42" s="92"/>
      <c r="P42" s="1"/>
    </row>
    <row r="43" spans="3:23" ht="20.100000000000001" customHeight="1" x14ac:dyDescent="0.25">
      <c r="E43" s="132" t="s">
        <v>540</v>
      </c>
      <c r="F43" s="567">
        <f>ROUND(F39,1)</f>
        <v>9.5</v>
      </c>
      <c r="G43" s="568"/>
      <c r="H43" s="569"/>
      <c r="I43" s="56"/>
      <c r="J43" s="56"/>
      <c r="K43" s="56"/>
      <c r="L43" s="56"/>
      <c r="M43" s="7"/>
      <c r="O43" s="92"/>
      <c r="P43" s="1"/>
    </row>
    <row r="44" spans="3:23" ht="20.100000000000001" customHeight="1" x14ac:dyDescent="0.3">
      <c r="C44" s="64"/>
      <c r="D44" s="56"/>
      <c r="E44" s="56"/>
      <c r="F44" s="45"/>
      <c r="G44" s="45"/>
      <c r="H44" s="45"/>
      <c r="I44" s="56"/>
      <c r="J44" s="56"/>
      <c r="K44" s="56"/>
      <c r="L44" s="56"/>
      <c r="M44" s="7"/>
      <c r="O44" s="92"/>
      <c r="P44" s="1"/>
    </row>
    <row r="45" spans="3:23" ht="20.100000000000001" customHeight="1" x14ac:dyDescent="0.25">
      <c r="C45" s="456" t="s">
        <v>502</v>
      </c>
      <c r="E45" s="15"/>
      <c r="F45" s="15" t="s">
        <v>108</v>
      </c>
      <c r="G45" s="6"/>
      <c r="H45" s="6"/>
      <c r="K45" s="7"/>
      <c r="L45" s="15" t="s">
        <v>198</v>
      </c>
      <c r="M45" s="7"/>
      <c r="O45" s="92"/>
      <c r="P45" s="1"/>
    </row>
    <row r="46" spans="3:23" ht="20.100000000000001" customHeight="1" x14ac:dyDescent="0.2">
      <c r="C46" s="600" t="s">
        <v>196</v>
      </c>
      <c r="F46" s="601">
        <v>10</v>
      </c>
      <c r="G46" s="602"/>
      <c r="H46" s="603"/>
      <c r="I46" s="7"/>
      <c r="J46" s="14"/>
      <c r="K46" s="92"/>
      <c r="L46" s="600">
        <v>50</v>
      </c>
      <c r="M46" s="1"/>
      <c r="N46" s="114">
        <f>IF(C22&lt;&gt;"Chauffage électrique",1,0)</f>
        <v>1</v>
      </c>
      <c r="O46" s="114">
        <f>IF(C57="Hydraulique",1,IF(AND(C57="Actuelle",N46&lt;&gt;0),1,0))</f>
        <v>1</v>
      </c>
      <c r="P46" s="114"/>
    </row>
    <row r="47" spans="3:23" ht="20.100000000000001" customHeight="1" x14ac:dyDescent="0.3">
      <c r="C47" s="64"/>
      <c r="D47" s="56"/>
      <c r="E47" s="56"/>
      <c r="F47" s="45"/>
      <c r="G47" s="45"/>
      <c r="H47" s="45"/>
      <c r="I47" s="56"/>
      <c r="J47" s="56"/>
      <c r="K47" s="56"/>
      <c r="L47" s="56"/>
      <c r="M47" s="7"/>
      <c r="O47" s="92"/>
      <c r="P47" s="1"/>
    </row>
    <row r="48" spans="3:23" ht="20.100000000000001" customHeight="1" x14ac:dyDescent="0.25">
      <c r="C48" s="456" t="str">
        <f>IF($C$46='BdD Bâtiment'!B65,"Besoins annuels totaux","Besoins annuels totaux (hors solaire)")</f>
        <v>Besoins annuels totaux</v>
      </c>
      <c r="D48" s="2"/>
      <c r="E48" s="2"/>
      <c r="F48" s="456" t="s">
        <v>341</v>
      </c>
      <c r="G48" s="95"/>
      <c r="H48" s="95"/>
      <c r="I48" s="14"/>
      <c r="J48" s="14"/>
      <c r="K48" s="14"/>
      <c r="L48" s="456" t="s">
        <v>346</v>
      </c>
      <c r="M48" s="7"/>
      <c r="O48" s="92"/>
      <c r="P48" s="444"/>
    </row>
    <row r="49" spans="1:76" ht="20.100000000000001" customHeight="1" x14ac:dyDescent="0.25">
      <c r="C49" s="457">
        <f>'Consommations et côuts de prod'!$C$21+'Consommations et côuts de prod'!$C$29</f>
        <v>19109.598300000001</v>
      </c>
      <c r="D49" s="2"/>
      <c r="E49" s="2"/>
      <c r="F49" s="564">
        <f>'Consommations et côuts de prod'!$C$21</f>
        <v>15296.388300000001</v>
      </c>
      <c r="G49" s="565"/>
      <c r="H49" s="566"/>
      <c r="I49" s="554" t="s">
        <v>197</v>
      </c>
      <c r="J49" s="554"/>
      <c r="K49" s="555"/>
      <c r="L49" s="457">
        <f>ROUND('Consommations et côuts de prod'!$C$29,0)</f>
        <v>3813</v>
      </c>
      <c r="M49" s="7"/>
      <c r="O49" s="92"/>
      <c r="P49" s="444"/>
    </row>
    <row r="50" spans="1:76" ht="20.100000000000001" customHeight="1" x14ac:dyDescent="0.2">
      <c r="D50" s="2"/>
      <c r="E50" s="2"/>
      <c r="I50" s="2"/>
      <c r="J50" s="2"/>
      <c r="K50" s="2"/>
      <c r="L50" s="2"/>
      <c r="M50" s="2"/>
      <c r="N50" s="93"/>
      <c r="O50" s="5"/>
      <c r="P50" s="1"/>
      <c r="V50" s="6"/>
    </row>
    <row r="51" spans="1:76" ht="20.100000000000001" customHeight="1" x14ac:dyDescent="0.3">
      <c r="C51" s="453" t="s">
        <v>14</v>
      </c>
      <c r="D51" s="450"/>
      <c r="E51" s="450"/>
      <c r="F51" s="449"/>
      <c r="G51" s="449"/>
      <c r="H51" s="449"/>
      <c r="I51" s="450"/>
      <c r="J51" s="450"/>
      <c r="K51" s="450"/>
      <c r="L51" s="450"/>
      <c r="M51" s="452"/>
      <c r="O51" s="92"/>
      <c r="P51" s="14"/>
    </row>
    <row r="52" spans="1:76" s="45" customFormat="1" ht="20.100000000000001" customHeight="1" x14ac:dyDescent="0.3">
      <c r="C52" s="64"/>
      <c r="D52" s="54"/>
      <c r="E52" s="54"/>
      <c r="F52" s="54"/>
      <c r="G52" s="54"/>
      <c r="H52" s="54"/>
      <c r="I52" s="55"/>
      <c r="J52" s="55"/>
      <c r="K52" s="55"/>
      <c r="L52" s="56"/>
      <c r="M52" s="57"/>
      <c r="N52" s="57"/>
      <c r="O52" s="14"/>
      <c r="P52" s="92"/>
      <c r="Q52" s="14"/>
      <c r="R52" s="5"/>
      <c r="S52" s="5"/>
      <c r="T52" s="5"/>
      <c r="U52" s="1"/>
      <c r="V52" s="1"/>
      <c r="W52" s="1"/>
      <c r="X52" s="1"/>
      <c r="Y52" s="1"/>
      <c r="Z52" s="1"/>
    </row>
    <row r="53" spans="1:76" ht="20.100000000000001" customHeight="1" x14ac:dyDescent="0.25">
      <c r="C53" s="15" t="s">
        <v>523</v>
      </c>
      <c r="D53" s="24"/>
      <c r="E53" s="24"/>
      <c r="F53" s="15" t="s">
        <v>709</v>
      </c>
      <c r="G53" s="15"/>
      <c r="H53" s="15"/>
      <c r="I53" s="2"/>
      <c r="J53" s="2"/>
      <c r="L53" s="456" t="s">
        <v>708</v>
      </c>
      <c r="M53" s="14"/>
      <c r="N53" s="51"/>
      <c r="O53" s="445"/>
      <c r="P53" s="446"/>
      <c r="Q53" s="446"/>
      <c r="R53" s="447"/>
      <c r="S53" s="5"/>
      <c r="BX53" s="2"/>
    </row>
    <row r="54" spans="1:76" ht="20.100000000000001" customHeight="1" x14ac:dyDescent="0.25">
      <c r="C54" s="600" t="s">
        <v>804</v>
      </c>
      <c r="D54" s="24"/>
      <c r="E54" s="24"/>
      <c r="F54" s="561" t="str">
        <f>VLOOKUP(cchaud,puip,2,FALSE)</f>
        <v>27/35 kW</v>
      </c>
      <c r="G54" s="562"/>
      <c r="H54" s="563"/>
      <c r="I54" s="2"/>
      <c r="J54" s="2"/>
      <c r="L54" s="457" t="str">
        <f>VLOOKUP(cchaud,'BdD Bâtiment'!$B$71:$D$75,3,FALSE)</f>
        <v>Bûches</v>
      </c>
      <c r="M54" s="14"/>
      <c r="N54" s="51"/>
      <c r="O54" s="445"/>
      <c r="P54" s="446"/>
      <c r="Q54" s="446"/>
      <c r="R54" s="447"/>
      <c r="S54" s="5"/>
      <c r="BX54" s="2"/>
    </row>
    <row r="55" spans="1:76" ht="20.100000000000001" customHeight="1" x14ac:dyDescent="0.25">
      <c r="C55" s="15"/>
      <c r="D55" s="24"/>
      <c r="E55" s="24"/>
      <c r="F55" s="15"/>
      <c r="G55" s="15"/>
      <c r="H55" s="15"/>
      <c r="I55" s="2"/>
      <c r="J55" s="2"/>
      <c r="K55" s="2"/>
      <c r="L55" s="15"/>
      <c r="M55" s="7"/>
      <c r="O55" s="92"/>
      <c r="P55" s="445"/>
      <c r="Q55" s="446"/>
      <c r="R55" s="446"/>
      <c r="S55" s="447"/>
      <c r="T55" s="5"/>
    </row>
    <row r="56" spans="1:76" ht="20.100000000000001" customHeight="1" x14ac:dyDescent="0.25">
      <c r="C56" s="15" t="s">
        <v>34</v>
      </c>
      <c r="D56" s="24"/>
      <c r="E56" s="24"/>
      <c r="F56" s="15" t="s">
        <v>351</v>
      </c>
      <c r="G56" s="15"/>
      <c r="H56" s="15"/>
      <c r="I56" s="2"/>
      <c r="J56" s="2"/>
      <c r="K56" s="2"/>
      <c r="L56" s="15" t="s">
        <v>532</v>
      </c>
      <c r="M56" s="15"/>
      <c r="N56" s="15"/>
      <c r="O56" s="446"/>
      <c r="P56" s="446"/>
      <c r="Q56" s="447"/>
      <c r="R56" s="5"/>
      <c r="BW56" s="2"/>
      <c r="BX56" s="2"/>
    </row>
    <row r="57" spans="1:76" ht="20.100000000000001" customHeight="1" x14ac:dyDescent="0.25">
      <c r="C57" s="600" t="s">
        <v>359</v>
      </c>
      <c r="D57" s="25"/>
      <c r="E57" s="25"/>
      <c r="F57" s="605" t="s">
        <v>361</v>
      </c>
      <c r="G57" s="606"/>
      <c r="H57" s="606"/>
      <c r="I57" s="371"/>
      <c r="J57" s="2"/>
      <c r="K57" s="2"/>
      <c r="L57" s="607" t="s">
        <v>673</v>
      </c>
      <c r="M57" s="370"/>
      <c r="N57" s="123"/>
      <c r="O57" s="446"/>
      <c r="P57" s="446"/>
      <c r="Q57" s="438"/>
      <c r="R57" s="5"/>
      <c r="BW57" s="2"/>
      <c r="BX57" s="2"/>
    </row>
    <row r="58" spans="1:76" ht="20.100000000000001" customHeight="1" x14ac:dyDescent="0.2">
      <c r="C58" s="124" t="s">
        <v>541</v>
      </c>
      <c r="D58" s="113"/>
      <c r="E58" s="113"/>
      <c r="F58" s="113"/>
      <c r="I58" s="2"/>
      <c r="J58" s="8"/>
      <c r="K58" s="7"/>
      <c r="L58" s="14"/>
      <c r="M58" s="51"/>
      <c r="N58" s="50"/>
      <c r="O58" s="5"/>
      <c r="P58" s="5"/>
      <c r="Q58" s="5"/>
      <c r="R58" s="5"/>
      <c r="BW58" s="2"/>
      <c r="BX58" s="2"/>
    </row>
    <row r="59" spans="1:76" ht="17.100000000000001" customHeight="1" x14ac:dyDescent="0.3">
      <c r="C59" s="453" t="s">
        <v>527</v>
      </c>
      <c r="D59" s="450"/>
      <c r="E59" s="450"/>
      <c r="F59" s="449"/>
      <c r="G59" s="449"/>
      <c r="H59" s="449"/>
      <c r="I59" s="450"/>
      <c r="J59" s="450"/>
      <c r="K59" s="450"/>
      <c r="L59" s="450"/>
      <c r="M59" s="450"/>
      <c r="O59" s="92"/>
      <c r="P59" s="14"/>
    </row>
    <row r="60" spans="1:76" s="1" customFormat="1" ht="17.100000000000001" customHeight="1" x14ac:dyDescent="0.2">
      <c r="A60" s="45"/>
      <c r="M60" s="5"/>
      <c r="N60" s="14"/>
      <c r="O60" s="14"/>
      <c r="P60" s="26"/>
    </row>
    <row r="61" spans="1:76" s="1" customFormat="1" ht="17.100000000000001" customHeight="1" x14ac:dyDescent="0.25">
      <c r="A61" s="45"/>
      <c r="C61" s="15" t="s">
        <v>529</v>
      </c>
      <c r="F61" s="91" t="s">
        <v>562</v>
      </c>
      <c r="M61" s="5"/>
      <c r="N61" s="14"/>
      <c r="O61" s="14"/>
      <c r="P61" s="26"/>
    </row>
    <row r="62" spans="1:76" ht="17.100000000000001" customHeight="1" x14ac:dyDescent="0.2">
      <c r="C62" s="600" t="s">
        <v>812</v>
      </c>
      <c r="D62" s="1"/>
      <c r="E62" s="1"/>
      <c r="F62" s="601">
        <v>1</v>
      </c>
      <c r="G62" s="602"/>
      <c r="H62" s="603"/>
      <c r="M62" s="5"/>
    </row>
    <row r="63" spans="1:76" s="1" customFormat="1" ht="17.100000000000001" customHeight="1" x14ac:dyDescent="0.2">
      <c r="A63" s="45"/>
      <c r="M63" s="5"/>
      <c r="N63" s="14"/>
    </row>
    <row r="64" spans="1:76" s="1" customFormat="1" ht="17.100000000000001" customHeight="1" x14ac:dyDescent="0.2">
      <c r="A64" s="45"/>
      <c r="M64" s="5"/>
      <c r="N64" s="14"/>
    </row>
    <row r="65" spans="1:78" s="1" customFormat="1" ht="17.100000000000001" customHeight="1" x14ac:dyDescent="0.25">
      <c r="A65" s="45"/>
      <c r="C65" s="120"/>
      <c r="D65" s="543" t="s">
        <v>524</v>
      </c>
      <c r="E65" s="544"/>
      <c r="F65" s="611" t="str">
        <f>Chaudières!$D$39</f>
        <v>CBI 20 GS</v>
      </c>
      <c r="G65" s="611"/>
      <c r="H65" s="611" t="str">
        <f>Chaudières!$E$39</f>
        <v>CBI 32 GS</v>
      </c>
      <c r="I65" s="611"/>
      <c r="J65" s="611" t="str">
        <f>Chaudières!$F$39</f>
        <v/>
      </c>
      <c r="K65" s="611"/>
      <c r="M65" s="5"/>
      <c r="N65" s="14"/>
    </row>
    <row r="66" spans="1:78" s="1" customFormat="1" ht="17.100000000000001" customHeight="1" x14ac:dyDescent="0.25">
      <c r="A66" s="45"/>
      <c r="C66" s="2"/>
      <c r="D66" s="546" t="s">
        <v>678</v>
      </c>
      <c r="E66" s="547"/>
      <c r="F66" s="611">
        <f>Chaudières!$D$40</f>
        <v>20</v>
      </c>
      <c r="G66" s="611"/>
      <c r="H66" s="611">
        <f>Chaudières!$E$40</f>
        <v>35</v>
      </c>
      <c r="I66" s="611"/>
      <c r="J66" s="611" t="str">
        <f>Chaudières!$F$40</f>
        <v/>
      </c>
      <c r="K66" s="611"/>
      <c r="M66" s="5"/>
      <c r="N66" s="14"/>
    </row>
    <row r="67" spans="1:78" s="1" customFormat="1" ht="6.75" customHeight="1" x14ac:dyDescent="0.2">
      <c r="A67" s="45"/>
      <c r="M67" s="5"/>
      <c r="N67" s="14"/>
    </row>
    <row r="68" spans="1:78" s="1" customFormat="1" ht="17.100000000000001" customHeight="1" x14ac:dyDescent="0.25">
      <c r="A68" s="45"/>
      <c r="B68" s="2"/>
      <c r="C68" s="395" t="s">
        <v>679</v>
      </c>
      <c r="D68" s="545" t="s">
        <v>689</v>
      </c>
      <c r="E68" s="544"/>
      <c r="F68" s="546" t="str">
        <f>IF(OR(cchaud=Chaudières!$F$6,cchaud=Chaudières!$I$6),"Chaudière automatique à granulés","Nombre de charges par jour pour chaque chaudière")</f>
        <v>Nombre de charges par jour pour chaque chaudière</v>
      </c>
      <c r="G68" s="547"/>
      <c r="H68" s="547"/>
      <c r="I68" s="547"/>
      <c r="J68" s="547"/>
      <c r="K68" s="547"/>
      <c r="L68" s="7"/>
      <c r="M68" s="5"/>
      <c r="N68" s="14"/>
    </row>
    <row r="69" spans="1:78" s="1" customFormat="1" ht="17.100000000000001" customHeight="1" x14ac:dyDescent="0.25">
      <c r="A69" s="45"/>
      <c r="C69" s="116">
        <v>1</v>
      </c>
      <c r="D69" s="572">
        <f>Résultats!BF90</f>
        <v>0.5</v>
      </c>
      <c r="E69" s="573"/>
      <c r="F69" s="542">
        <f>Chaudières!D42</f>
        <v>2.0128184755548495</v>
      </c>
      <c r="G69" s="542"/>
      <c r="H69" s="542">
        <f>Chaudières!E42</f>
        <v>1.4538998951661655</v>
      </c>
      <c r="I69" s="542"/>
      <c r="J69" s="542">
        <f>Chaudières!F42</f>
        <v>0.82696785706513476</v>
      </c>
      <c r="K69" s="542"/>
      <c r="L69" s="6"/>
      <c r="M69" s="6"/>
      <c r="N69" s="14"/>
    </row>
    <row r="70" spans="1:78" s="1" customFormat="1" ht="17.100000000000001" customHeight="1" x14ac:dyDescent="0.25">
      <c r="A70" s="45"/>
      <c r="C70" s="410" t="s">
        <v>685</v>
      </c>
      <c r="D70" s="572">
        <f>Résultats!BF91</f>
        <v>25.85</v>
      </c>
      <c r="E70" s="573"/>
      <c r="F70" s="542">
        <f>Chaudières!D43</f>
        <v>1.509613856666137</v>
      </c>
      <c r="G70" s="542"/>
      <c r="H70" s="542">
        <f>Chaudières!E43</f>
        <v>1.090424921374624</v>
      </c>
      <c r="I70" s="542"/>
      <c r="J70" s="542">
        <f>Chaudières!F43</f>
        <v>0.62022589279885099</v>
      </c>
      <c r="K70" s="542"/>
      <c r="L70" s="6"/>
      <c r="M70" s="6"/>
      <c r="N70" s="14"/>
    </row>
    <row r="71" spans="1:78" s="1" customFormat="1" ht="17.100000000000001" customHeight="1" x14ac:dyDescent="0.25">
      <c r="A71" s="45"/>
      <c r="C71" s="410" t="s">
        <v>686</v>
      </c>
      <c r="D71" s="572">
        <f>Résultats!BF92</f>
        <v>92.300000000000011</v>
      </c>
      <c r="E71" s="573"/>
      <c r="F71" s="542">
        <f>Chaudières!D44</f>
        <v>1.0064092377774247</v>
      </c>
      <c r="G71" s="542"/>
      <c r="H71" s="542">
        <f>Chaudières!E44</f>
        <v>0.72694994758308273</v>
      </c>
      <c r="I71" s="542"/>
      <c r="J71" s="542">
        <f>Chaudières!F44</f>
        <v>0.41348392853256738</v>
      </c>
      <c r="K71" s="542"/>
      <c r="L71" s="6"/>
      <c r="M71" s="6"/>
      <c r="N71" s="14"/>
    </row>
    <row r="72" spans="1:78" s="1" customFormat="1" ht="17.100000000000001" customHeight="1" x14ac:dyDescent="0.25">
      <c r="A72" s="45"/>
      <c r="C72" s="410" t="s">
        <v>687</v>
      </c>
      <c r="D72" s="572">
        <f>Résultats!BF93</f>
        <v>62.25</v>
      </c>
      <c r="E72" s="573"/>
      <c r="F72" s="542">
        <f>Chaudières!D45</f>
        <v>0.70448646644419721</v>
      </c>
      <c r="G72" s="542"/>
      <c r="H72" s="542">
        <f>Chaudières!E45</f>
        <v>0.50886496330815789</v>
      </c>
      <c r="I72" s="542"/>
      <c r="J72" s="542">
        <f>Chaudières!F45</f>
        <v>0.28943874997279712</v>
      </c>
      <c r="K72" s="542"/>
      <c r="L72" s="6"/>
      <c r="M72" s="6"/>
      <c r="N72" s="14"/>
      <c r="BY72" s="2"/>
      <c r="BZ72" s="2"/>
    </row>
    <row r="73" spans="1:78" s="1" customFormat="1" ht="17.100000000000001" customHeight="1" x14ac:dyDescent="0.25">
      <c r="A73" s="45"/>
      <c r="C73" s="410" t="s">
        <v>688</v>
      </c>
      <c r="D73" s="572">
        <f>Résultats!BF94</f>
        <v>50.012500000000003</v>
      </c>
      <c r="E73" s="573"/>
      <c r="F73" s="542">
        <f>Chaudières!D46</f>
        <v>0.50320461888871237</v>
      </c>
      <c r="G73" s="542"/>
      <c r="H73" s="542">
        <f>Chaudières!E46</f>
        <v>0.36347497379154137</v>
      </c>
      <c r="I73" s="542"/>
      <c r="J73" s="542">
        <f>Chaudières!F46</f>
        <v>0.20674196426628369</v>
      </c>
      <c r="K73" s="542"/>
      <c r="L73" s="6"/>
      <c r="M73" s="6"/>
      <c r="N73" s="14"/>
      <c r="BY73" s="2"/>
      <c r="BZ73" s="2"/>
    </row>
    <row r="74" spans="1:78" s="1" customFormat="1" ht="17.100000000000001" hidden="1" customHeight="1" x14ac:dyDescent="0.25">
      <c r="A74" s="45"/>
      <c r="D74" s="550" t="s">
        <v>530</v>
      </c>
      <c r="E74" s="551"/>
      <c r="L74" s="6"/>
      <c r="M74" s="6"/>
      <c r="N74" s="14"/>
      <c r="BY74" s="2"/>
      <c r="BZ74" s="2"/>
    </row>
    <row r="75" spans="1:78" s="1" customFormat="1" ht="17.100000000000001" hidden="1" customHeight="1" x14ac:dyDescent="0.25">
      <c r="A75" s="45"/>
      <c r="D75" s="548" t="s">
        <v>677</v>
      </c>
      <c r="E75" s="549"/>
      <c r="F75" s="552">
        <f>Chaudières!D49</f>
        <v>1</v>
      </c>
      <c r="G75" s="553"/>
      <c r="H75" s="552">
        <f>Chaudières!E49</f>
        <v>0</v>
      </c>
      <c r="I75" s="553"/>
      <c r="J75" s="552">
        <f>Chaudières!F49</f>
        <v>0</v>
      </c>
      <c r="K75" s="553"/>
      <c r="L75" s="6"/>
      <c r="M75" s="6"/>
      <c r="N75" s="14"/>
      <c r="BY75" s="2"/>
      <c r="BZ75" s="2"/>
    </row>
    <row r="76" spans="1:78" s="1" customFormat="1" ht="9.75" customHeight="1" x14ac:dyDescent="0.2">
      <c r="A76" s="45"/>
      <c r="I76" s="6"/>
      <c r="J76" s="6"/>
      <c r="K76" s="6"/>
      <c r="L76" s="6"/>
      <c r="M76" s="6"/>
      <c r="N76" s="14"/>
      <c r="BY76" s="2"/>
      <c r="BZ76" s="2"/>
    </row>
    <row r="77" spans="1:78" s="1" customFormat="1" ht="17.100000000000001" customHeight="1" x14ac:dyDescent="0.2">
      <c r="F77" s="136"/>
      <c r="G77" s="1" t="s">
        <v>556</v>
      </c>
      <c r="I77" s="6"/>
      <c r="J77" s="6"/>
      <c r="K77" s="6"/>
      <c r="L77" s="6"/>
      <c r="M77" s="6"/>
      <c r="N77" s="14"/>
    </row>
    <row r="78" spans="1:78" s="1" customFormat="1" ht="17.100000000000001" customHeight="1" x14ac:dyDescent="0.2">
      <c r="F78" s="137"/>
      <c r="G78" s="1" t="s">
        <v>531</v>
      </c>
      <c r="I78" s="6"/>
      <c r="J78" s="6"/>
      <c r="K78" s="6"/>
      <c r="L78" s="6"/>
      <c r="M78" s="6"/>
      <c r="N78" s="14"/>
    </row>
    <row r="79" spans="1:78" s="1" customFormat="1" ht="17.100000000000001" customHeight="1" x14ac:dyDescent="0.2">
      <c r="F79" s="449"/>
      <c r="G79" s="508" t="s">
        <v>722</v>
      </c>
      <c r="I79" s="6"/>
      <c r="J79" s="6"/>
      <c r="K79" s="6"/>
      <c r="L79" s="6"/>
      <c r="M79" s="6"/>
      <c r="N79" s="14"/>
      <c r="U79" s="6"/>
      <c r="V79" s="6"/>
      <c r="W79" s="6"/>
    </row>
    <row r="80" spans="1:78" s="1" customFormat="1" ht="20.100000000000001" customHeight="1" x14ac:dyDescent="0.2">
      <c r="A80" s="45"/>
      <c r="I80" s="6"/>
      <c r="J80" s="6"/>
      <c r="K80" s="6"/>
      <c r="L80" s="6"/>
      <c r="M80" s="6"/>
      <c r="N80" s="14"/>
      <c r="U80" s="6"/>
      <c r="V80" s="6"/>
      <c r="W80" s="6"/>
      <c r="BY80" s="2"/>
      <c r="BZ80" s="2"/>
    </row>
    <row r="81" spans="1:76" ht="20.100000000000001" customHeight="1" x14ac:dyDescent="0.2">
      <c r="C81" s="129"/>
      <c r="D81" s="130"/>
      <c r="G81" s="132" t="str">
        <f>IF(OR(Chaudières!$C$35=Chaudières!$F$6,Chaudières!$C$35=Chaudières!$I$6),"La puissance max de la chaudière à pellets est de ",CONCATENATE("La puissance maximale associée à ",chargem," charges journalières est de :   "))</f>
        <v xml:space="preserve">La puissance maximale associée à 1 charges journalières est de :   </v>
      </c>
      <c r="H81" s="138">
        <f>IF(OR(Chaudières!$C$35=Chaudières!$F$6,Chaudières!$C$35=Chaudières!$I$6),PDEL,pmax)</f>
        <v>4.7197500000000003</v>
      </c>
      <c r="I81" s="133" t="str">
        <f>IF(OR(Chaudières!$C$35=Chaudières!$F$6,Chaudières!$C$35=Chaudières!$I$6),"kW.","kW - pour une installation équipée d'un volume tampon suffisant.")</f>
        <v>kW - pour une installation équipée d'un volume tampon suffisant.</v>
      </c>
    </row>
    <row r="82" spans="1:76" s="129" customFormat="1" ht="20.100000000000001" customHeight="1" x14ac:dyDescent="0.25">
      <c r="A82" s="128"/>
      <c r="C82" s="15" t="s">
        <v>732</v>
      </c>
      <c r="D82" s="1"/>
      <c r="E82" s="1"/>
      <c r="N82" s="131"/>
      <c r="O82" s="131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</row>
    <row r="83" spans="1:76" ht="20.100000000000001" customHeight="1" x14ac:dyDescent="0.3">
      <c r="B83" s="1"/>
      <c r="C83" s="139">
        <f>Résultats!$BO$33</f>
        <v>0.94110173992307566</v>
      </c>
      <c r="E83" s="396" t="str">
        <f>IF(pbois&lt;100%,"Appoint à prévoir","")</f>
        <v>Appoint à prévoir</v>
      </c>
      <c r="F83" s="1"/>
      <c r="G83" s="1"/>
      <c r="H83" s="1"/>
      <c r="L83" s="6"/>
      <c r="M83" s="6"/>
    </row>
    <row r="84" spans="1:76" ht="20.100000000000001" customHeight="1" x14ac:dyDescent="0.2">
      <c r="B84" s="1"/>
      <c r="C84" s="135" t="s">
        <v>563</v>
      </c>
      <c r="D84" s="2"/>
      <c r="E84" s="2"/>
      <c r="F84" s="1"/>
      <c r="G84" s="1"/>
      <c r="H84" s="1"/>
      <c r="L84" s="6"/>
      <c r="M84" s="6"/>
      <c r="O84" s="23"/>
      <c r="P84" s="10"/>
    </row>
    <row r="85" spans="1:76" ht="20.100000000000001" customHeight="1" x14ac:dyDescent="0.3">
      <c r="B85" s="1"/>
      <c r="C85" s="453" t="s">
        <v>356</v>
      </c>
      <c r="D85" s="450"/>
      <c r="E85" s="450"/>
      <c r="F85" s="449"/>
      <c r="G85" s="449"/>
      <c r="H85" s="449"/>
      <c r="I85" s="450"/>
      <c r="J85" s="450"/>
      <c r="K85" s="450"/>
      <c r="L85" s="450"/>
      <c r="M85" s="449"/>
    </row>
    <row r="86" spans="1:76" ht="20.100000000000001" customHeight="1" x14ac:dyDescent="0.25">
      <c r="B86" s="1"/>
      <c r="C86" s="39"/>
      <c r="D86" s="23"/>
      <c r="E86" s="23"/>
      <c r="F86" s="1"/>
      <c r="G86" s="1"/>
      <c r="H86" s="1"/>
      <c r="L86" s="6"/>
      <c r="M86" s="6"/>
    </row>
    <row r="87" spans="1:76" ht="20.100000000000001" customHeight="1" x14ac:dyDescent="0.25">
      <c r="B87" s="1"/>
      <c r="C87" s="125" t="s">
        <v>416</v>
      </c>
      <c r="D87" s="127" t="str">
        <f>VLOOKUP(C14,'BdD Localisation'!C111:D206,2,FALSE)</f>
        <v>STRASBOURG-ENTZHEIM</v>
      </c>
      <c r="E87" s="10"/>
      <c r="F87" s="1"/>
      <c r="G87" s="1"/>
      <c r="H87" s="1"/>
      <c r="L87" s="6"/>
      <c r="M87" s="6"/>
    </row>
    <row r="88" spans="1:76" ht="20.100000000000001" customHeight="1" x14ac:dyDescent="0.2">
      <c r="B88" s="1"/>
      <c r="C88" s="11"/>
      <c r="D88" s="23"/>
      <c r="E88" s="10"/>
      <c r="F88" s="1"/>
      <c r="G88" s="1"/>
      <c r="H88" s="1"/>
      <c r="L88" s="6"/>
      <c r="M88" s="6"/>
      <c r="O88" s="92"/>
      <c r="P88" s="14"/>
    </row>
    <row r="89" spans="1:76" ht="20.100000000000001" customHeight="1" x14ac:dyDescent="0.2">
      <c r="B89" s="1"/>
      <c r="C89" s="11"/>
      <c r="D89" s="96"/>
      <c r="E89" s="10"/>
      <c r="F89" s="1"/>
      <c r="G89" s="1"/>
      <c r="H89" s="1"/>
      <c r="L89" s="6"/>
      <c r="M89" s="6"/>
      <c r="O89" s="92"/>
      <c r="P89" s="14"/>
    </row>
    <row r="90" spans="1:76" ht="20.100000000000001" customHeight="1" x14ac:dyDescent="0.2">
      <c r="B90" s="1"/>
      <c r="C90" s="11"/>
      <c r="D90" s="96"/>
      <c r="E90" s="10"/>
      <c r="F90" s="1"/>
      <c r="G90" s="1"/>
      <c r="H90" s="1"/>
      <c r="L90" s="6"/>
      <c r="M90" s="6"/>
      <c r="O90" s="92"/>
      <c r="P90" s="14"/>
    </row>
    <row r="91" spans="1:76" ht="15" x14ac:dyDescent="0.2">
      <c r="B91" s="1"/>
      <c r="C91" s="11"/>
      <c r="D91" s="96"/>
      <c r="E91" s="10"/>
      <c r="F91" s="1"/>
      <c r="G91" s="1"/>
      <c r="H91" s="1"/>
      <c r="L91" s="6"/>
      <c r="M91" s="6"/>
      <c r="O91" s="92"/>
      <c r="P91" s="14"/>
    </row>
    <row r="92" spans="1:76" ht="15" x14ac:dyDescent="0.2">
      <c r="B92" s="1"/>
      <c r="C92" s="103"/>
      <c r="D92" s="23"/>
      <c r="E92" s="10"/>
      <c r="F92" s="1"/>
      <c r="G92" s="1"/>
      <c r="H92" s="1"/>
      <c r="L92" s="6"/>
      <c r="M92" s="6"/>
      <c r="O92" s="92"/>
      <c r="P92" s="14"/>
    </row>
    <row r="93" spans="1:76" ht="15" x14ac:dyDescent="0.2">
      <c r="B93" s="1"/>
      <c r="E93" s="10"/>
      <c r="F93" s="1"/>
      <c r="G93" s="1"/>
      <c r="H93" s="1"/>
      <c r="L93" s="6"/>
      <c r="M93" s="6"/>
      <c r="O93" s="92"/>
      <c r="P93" s="14"/>
    </row>
    <row r="94" spans="1:76" ht="15" x14ac:dyDescent="0.2">
      <c r="B94" s="1"/>
      <c r="C94" s="11"/>
      <c r="D94" s="94"/>
      <c r="E94" s="10"/>
      <c r="F94" s="1"/>
      <c r="G94" s="1"/>
      <c r="H94" s="1"/>
      <c r="L94" s="6"/>
      <c r="M94" s="6"/>
      <c r="O94" s="92"/>
      <c r="P94" s="14"/>
    </row>
    <row r="95" spans="1:76" ht="15" customHeight="1" x14ac:dyDescent="0.25">
      <c r="B95" s="1"/>
      <c r="C95" s="15"/>
      <c r="D95" s="23"/>
      <c r="E95" s="23"/>
      <c r="F95" s="1"/>
      <c r="G95" s="1"/>
      <c r="H95" s="1"/>
      <c r="L95" s="6"/>
      <c r="M95" s="6"/>
      <c r="O95" s="92"/>
      <c r="P95" s="14"/>
    </row>
    <row r="96" spans="1:76" ht="15" customHeight="1" x14ac:dyDescent="0.2">
      <c r="B96" s="1"/>
      <c r="D96" s="2"/>
      <c r="E96" s="2"/>
      <c r="F96" s="1"/>
      <c r="G96" s="1"/>
      <c r="H96" s="1"/>
      <c r="L96" s="6"/>
      <c r="M96" s="6"/>
      <c r="O96" s="92"/>
      <c r="P96" s="14"/>
    </row>
    <row r="97" spans="2:16" ht="21.75" customHeight="1" x14ac:dyDescent="0.25">
      <c r="B97" s="1"/>
      <c r="C97" s="15"/>
      <c r="D97" s="104"/>
      <c r="E97" s="15"/>
      <c r="F97" s="1"/>
      <c r="G97" s="1"/>
      <c r="H97" s="1"/>
      <c r="L97" s="6"/>
      <c r="M97" s="6"/>
      <c r="O97" s="92"/>
      <c r="P97" s="14"/>
    </row>
    <row r="98" spans="2:16" ht="15" x14ac:dyDescent="0.2">
      <c r="B98" s="1"/>
      <c r="C98" s="11"/>
      <c r="D98" s="23"/>
      <c r="E98" s="10"/>
      <c r="F98" s="1"/>
      <c r="G98" s="1"/>
      <c r="H98" s="1"/>
      <c r="L98" s="6"/>
      <c r="M98" s="6"/>
      <c r="O98" s="92"/>
      <c r="P98" s="14"/>
    </row>
    <row r="99" spans="2:16" ht="15" x14ac:dyDescent="0.2">
      <c r="B99" s="1"/>
      <c r="C99" s="11"/>
      <c r="D99" s="23"/>
      <c r="E99" s="10"/>
      <c r="F99" s="1"/>
      <c r="G99" s="1"/>
      <c r="H99" s="1"/>
      <c r="L99" s="6"/>
      <c r="M99" s="6"/>
      <c r="O99" s="92"/>
      <c r="P99" s="14"/>
    </row>
    <row r="100" spans="2:16" ht="15" x14ac:dyDescent="0.2">
      <c r="B100" s="1"/>
      <c r="C100" s="11"/>
      <c r="D100" s="23"/>
      <c r="E100" s="10"/>
      <c r="F100" s="1"/>
      <c r="G100" s="1"/>
      <c r="H100" s="1"/>
      <c r="L100" s="6"/>
      <c r="M100" s="6"/>
      <c r="O100" s="92"/>
      <c r="P100" s="14"/>
    </row>
    <row r="101" spans="2:16" x14ac:dyDescent="0.2">
      <c r="B101" s="1"/>
      <c r="D101" s="2"/>
      <c r="E101" s="2"/>
      <c r="F101" s="1"/>
      <c r="G101" s="1"/>
      <c r="H101" s="1"/>
      <c r="L101" s="6"/>
      <c r="M101" s="6"/>
      <c r="O101" s="92"/>
      <c r="P101" s="14"/>
    </row>
    <row r="102" spans="2:16" ht="15" x14ac:dyDescent="0.2">
      <c r="B102" s="1"/>
      <c r="C102" s="11"/>
      <c r="D102" s="23"/>
      <c r="E102" s="10"/>
      <c r="F102" s="1"/>
      <c r="G102" s="1"/>
      <c r="H102" s="1"/>
      <c r="L102" s="6"/>
      <c r="M102" s="6"/>
      <c r="O102" s="92"/>
      <c r="P102" s="14"/>
    </row>
    <row r="103" spans="2:16" ht="15" x14ac:dyDescent="0.2">
      <c r="B103" s="1"/>
      <c r="C103" s="11"/>
      <c r="D103" s="94"/>
      <c r="E103" s="10"/>
      <c r="F103" s="1"/>
      <c r="G103" s="1"/>
      <c r="H103" s="1"/>
      <c r="L103" s="6"/>
      <c r="M103" s="6"/>
      <c r="O103" s="92"/>
      <c r="P103" s="14"/>
    </row>
    <row r="104" spans="2:16" ht="15" x14ac:dyDescent="0.2">
      <c r="B104" s="1"/>
      <c r="C104" s="11"/>
      <c r="D104" s="97"/>
      <c r="E104" s="10"/>
      <c r="F104" s="1"/>
      <c r="G104" s="1"/>
      <c r="H104" s="1"/>
      <c r="L104" s="6"/>
      <c r="M104" s="6"/>
      <c r="O104" s="92"/>
      <c r="P104" s="14"/>
    </row>
    <row r="105" spans="2:16" ht="15.75" x14ac:dyDescent="0.25">
      <c r="B105" s="1"/>
      <c r="D105" s="94"/>
      <c r="E105" s="40"/>
      <c r="F105" s="1"/>
      <c r="G105" s="1"/>
      <c r="H105" s="1"/>
      <c r="L105" s="6"/>
      <c r="M105" s="6"/>
      <c r="O105" s="92"/>
      <c r="P105" s="14"/>
    </row>
    <row r="106" spans="2:16" ht="13.5" customHeight="1" x14ac:dyDescent="0.25">
      <c r="B106" s="1"/>
      <c r="C106" s="15"/>
      <c r="D106" s="23"/>
      <c r="E106" s="23"/>
      <c r="F106" s="1"/>
      <c r="G106" s="1"/>
      <c r="H106" s="1"/>
      <c r="L106" s="6"/>
      <c r="M106" s="6"/>
      <c r="O106" s="92"/>
      <c r="P106" s="14"/>
    </row>
    <row r="107" spans="2:16" ht="12.75" hidden="1" customHeight="1" x14ac:dyDescent="0.2">
      <c r="B107" s="1"/>
      <c r="F107" s="1"/>
      <c r="G107" s="1"/>
      <c r="H107" s="1"/>
      <c r="L107" s="6"/>
      <c r="M107" s="6"/>
      <c r="O107" s="92"/>
      <c r="P107" s="14"/>
    </row>
    <row r="108" spans="2:16" ht="12.75" hidden="1" customHeight="1" x14ac:dyDescent="0.2">
      <c r="B108" s="1"/>
      <c r="C108" s="1"/>
      <c r="D108" s="2"/>
      <c r="F108" s="1"/>
      <c r="G108" s="1"/>
      <c r="H108" s="1"/>
      <c r="I108" s="69"/>
      <c r="J108" s="69"/>
      <c r="K108" s="69"/>
      <c r="L108" s="6"/>
      <c r="M108" s="6"/>
      <c r="O108" s="92"/>
      <c r="P108" s="14"/>
    </row>
    <row r="109" spans="2:16" ht="12.75" hidden="1" customHeight="1" x14ac:dyDescent="0.2">
      <c r="B109" s="1"/>
      <c r="D109" s="2"/>
      <c r="E109" s="2"/>
      <c r="F109" s="1"/>
      <c r="G109" s="1"/>
      <c r="H109" s="1"/>
      <c r="L109" s="6"/>
      <c r="M109" s="6"/>
      <c r="O109" s="92"/>
      <c r="P109" s="14"/>
    </row>
    <row r="110" spans="2:16" ht="11.25" hidden="1" customHeight="1" x14ac:dyDescent="0.2">
      <c r="B110" s="1"/>
      <c r="D110" s="2"/>
      <c r="E110" s="2"/>
      <c r="F110" s="1"/>
      <c r="G110" s="1"/>
      <c r="H110" s="1"/>
      <c r="L110" s="6"/>
      <c r="M110" s="6"/>
      <c r="O110" s="92"/>
      <c r="P110" s="14"/>
    </row>
    <row r="111" spans="2:16" ht="15.75" hidden="1" customHeight="1" x14ac:dyDescent="0.25">
      <c r="D111" s="2"/>
      <c r="E111" s="2"/>
      <c r="F111" s="15"/>
      <c r="G111" s="15"/>
      <c r="H111" s="15"/>
      <c r="M111" s="7"/>
      <c r="O111" s="92"/>
      <c r="P111" s="14"/>
    </row>
    <row r="112" spans="2:16" ht="12.75" hidden="1" customHeight="1" x14ac:dyDescent="0.2">
      <c r="D112" s="2"/>
      <c r="E112" s="2"/>
      <c r="M112" s="7"/>
    </row>
    <row r="113" spans="1:78" x14ac:dyDescent="0.2">
      <c r="D113" s="2"/>
      <c r="E113" s="2"/>
      <c r="M113" s="7"/>
    </row>
    <row r="114" spans="1:78" x14ac:dyDescent="0.2">
      <c r="D114" s="2"/>
      <c r="E114" s="2"/>
      <c r="M114" s="7"/>
    </row>
    <row r="115" spans="1:78" x14ac:dyDescent="0.2">
      <c r="D115" s="2"/>
      <c r="E115" s="2"/>
      <c r="M115" s="7"/>
    </row>
    <row r="116" spans="1:78" x14ac:dyDescent="0.2">
      <c r="D116" s="2"/>
      <c r="E116" s="2"/>
      <c r="M116" s="7"/>
    </row>
    <row r="117" spans="1:78" x14ac:dyDescent="0.2">
      <c r="D117" s="2"/>
      <c r="E117" s="2"/>
      <c r="M117" s="7"/>
    </row>
    <row r="118" spans="1:78" x14ac:dyDescent="0.2">
      <c r="D118" s="2"/>
      <c r="E118" s="2"/>
      <c r="M118" s="7"/>
    </row>
    <row r="119" spans="1:78" ht="15" x14ac:dyDescent="0.2">
      <c r="D119" s="2"/>
      <c r="E119" s="2"/>
      <c r="F119" s="10"/>
      <c r="G119" s="10"/>
      <c r="H119" s="10"/>
      <c r="L119" s="7"/>
      <c r="M119" s="7"/>
    </row>
    <row r="120" spans="1:78" ht="15" x14ac:dyDescent="0.2">
      <c r="D120" s="2"/>
      <c r="E120" s="2"/>
      <c r="F120" s="10"/>
      <c r="G120" s="10"/>
      <c r="H120" s="10"/>
      <c r="L120" s="7"/>
      <c r="M120" s="7"/>
    </row>
    <row r="121" spans="1:78" ht="15" x14ac:dyDescent="0.2">
      <c r="D121" s="2"/>
      <c r="E121" s="2"/>
      <c r="F121" s="10"/>
      <c r="G121" s="10"/>
      <c r="H121" s="10"/>
      <c r="L121" s="7"/>
      <c r="M121" s="7"/>
    </row>
    <row r="122" spans="1:78" ht="15" x14ac:dyDescent="0.2">
      <c r="D122" s="2"/>
      <c r="E122" s="2"/>
      <c r="F122" s="10"/>
      <c r="G122" s="10"/>
      <c r="H122" s="10"/>
      <c r="L122" s="7"/>
      <c r="M122" s="7"/>
    </row>
    <row r="123" spans="1:78" s="1" customFormat="1" ht="15" x14ac:dyDescent="0.2">
      <c r="A123" s="45"/>
      <c r="B123" s="2"/>
      <c r="F123" s="10"/>
      <c r="G123" s="10"/>
      <c r="H123" s="10"/>
      <c r="I123" s="6"/>
      <c r="J123" s="6"/>
      <c r="K123" s="6"/>
      <c r="L123" s="7"/>
      <c r="M123" s="7"/>
      <c r="N123" s="14"/>
      <c r="O123" s="14"/>
      <c r="P123" s="26"/>
      <c r="BY123" s="2"/>
      <c r="BZ123" s="2"/>
    </row>
    <row r="124" spans="1:78" s="1" customFormat="1" ht="15" x14ac:dyDescent="0.2">
      <c r="A124" s="45"/>
      <c r="B124" s="2"/>
      <c r="F124" s="10"/>
      <c r="G124" s="10"/>
      <c r="H124" s="10"/>
      <c r="I124" s="6"/>
      <c r="J124" s="6"/>
      <c r="K124" s="6"/>
      <c r="L124" s="7"/>
      <c r="M124" s="7"/>
      <c r="N124" s="14"/>
      <c r="O124" s="14"/>
      <c r="P124" s="26"/>
      <c r="BY124" s="2"/>
      <c r="BZ124" s="2"/>
    </row>
    <row r="125" spans="1:78" s="1" customFormat="1" ht="15" x14ac:dyDescent="0.2">
      <c r="A125" s="45"/>
      <c r="B125" s="2"/>
      <c r="F125" s="10"/>
      <c r="G125" s="10"/>
      <c r="H125" s="10"/>
      <c r="I125" s="6"/>
      <c r="J125" s="6"/>
      <c r="K125" s="6"/>
      <c r="L125" s="7"/>
      <c r="M125" s="7"/>
      <c r="N125" s="14"/>
      <c r="O125" s="14"/>
      <c r="P125" s="26"/>
      <c r="BY125" s="2"/>
      <c r="BZ125" s="2"/>
    </row>
    <row r="126" spans="1:78" s="1" customFormat="1" ht="15" x14ac:dyDescent="0.2">
      <c r="A126" s="45"/>
      <c r="B126" s="2"/>
      <c r="F126" s="10"/>
      <c r="G126" s="10"/>
      <c r="H126" s="10"/>
      <c r="I126" s="6"/>
      <c r="J126" s="6"/>
      <c r="K126" s="6"/>
      <c r="L126" s="7"/>
      <c r="M126" s="7"/>
      <c r="N126" s="14"/>
      <c r="O126" s="14"/>
      <c r="P126" s="26"/>
      <c r="BY126" s="2"/>
      <c r="BZ126" s="2"/>
    </row>
    <row r="127" spans="1:78" s="1" customFormat="1" ht="15" x14ac:dyDescent="0.2">
      <c r="A127" s="45"/>
      <c r="B127" s="2"/>
      <c r="F127" s="10"/>
      <c r="G127" s="10"/>
      <c r="H127" s="10"/>
      <c r="I127" s="6"/>
      <c r="J127" s="6"/>
      <c r="K127" s="6"/>
      <c r="L127" s="7"/>
      <c r="M127" s="7"/>
      <c r="N127" s="14"/>
      <c r="O127" s="14"/>
      <c r="P127" s="26"/>
      <c r="BY127" s="2"/>
      <c r="BZ127" s="2"/>
    </row>
    <row r="128" spans="1:78" s="1" customFormat="1" ht="15" x14ac:dyDescent="0.2">
      <c r="A128" s="45"/>
      <c r="B128" s="2"/>
      <c r="F128" s="10"/>
      <c r="G128" s="10"/>
      <c r="H128" s="10"/>
      <c r="I128" s="6"/>
      <c r="J128" s="6"/>
      <c r="K128" s="6"/>
      <c r="L128" s="7"/>
      <c r="M128" s="7"/>
      <c r="N128" s="14"/>
      <c r="O128" s="14"/>
      <c r="P128" s="26"/>
      <c r="BY128" s="2"/>
      <c r="BZ128" s="2"/>
    </row>
    <row r="129" spans="1:78" s="1" customFormat="1" ht="15" x14ac:dyDescent="0.2">
      <c r="A129" s="45"/>
      <c r="B129" s="2"/>
      <c r="F129" s="10"/>
      <c r="G129" s="10"/>
      <c r="H129" s="10"/>
      <c r="I129" s="6"/>
      <c r="J129" s="6"/>
      <c r="K129" s="6"/>
      <c r="L129" s="7"/>
      <c r="M129" s="7"/>
      <c r="N129" s="14"/>
      <c r="O129" s="14"/>
      <c r="P129" s="26"/>
      <c r="BY129" s="2"/>
      <c r="BZ129" s="2"/>
    </row>
    <row r="130" spans="1:78" s="1" customFormat="1" ht="15" x14ac:dyDescent="0.2">
      <c r="A130" s="45"/>
      <c r="B130" s="2"/>
      <c r="F130" s="10"/>
      <c r="G130" s="10"/>
      <c r="H130" s="10"/>
      <c r="I130" s="6"/>
      <c r="J130" s="6"/>
      <c r="K130" s="6"/>
      <c r="L130" s="7"/>
      <c r="M130" s="7"/>
      <c r="N130" s="14"/>
      <c r="O130" s="14"/>
      <c r="P130" s="26"/>
      <c r="BY130" s="2"/>
      <c r="BZ130" s="2"/>
    </row>
    <row r="131" spans="1:78" s="1" customFormat="1" x14ac:dyDescent="0.2">
      <c r="A131" s="45"/>
      <c r="I131" s="6"/>
      <c r="J131" s="6"/>
      <c r="K131" s="6"/>
      <c r="L131" s="6"/>
      <c r="M131" s="6"/>
      <c r="N131" s="14"/>
      <c r="O131" s="14"/>
      <c r="P131" s="26"/>
      <c r="BY131" s="2"/>
      <c r="BZ131" s="2"/>
    </row>
    <row r="132" spans="1:78" s="1" customFormat="1" x14ac:dyDescent="0.2">
      <c r="A132" s="45"/>
      <c r="D132" s="6"/>
      <c r="E132" s="6"/>
      <c r="I132" s="6"/>
      <c r="J132" s="6"/>
      <c r="K132" s="6"/>
      <c r="L132" s="6"/>
      <c r="M132" s="6"/>
      <c r="N132" s="14"/>
      <c r="O132" s="14"/>
      <c r="P132" s="26"/>
      <c r="BY132" s="2"/>
      <c r="BZ132" s="2"/>
    </row>
    <row r="133" spans="1:78" s="1" customFormat="1" x14ac:dyDescent="0.2">
      <c r="A133" s="45"/>
      <c r="D133" s="6"/>
      <c r="E133" s="6"/>
      <c r="I133" s="6"/>
      <c r="J133" s="6"/>
      <c r="K133" s="6"/>
      <c r="L133" s="6"/>
      <c r="M133" s="6"/>
      <c r="N133" s="14"/>
      <c r="O133" s="14"/>
      <c r="P133" s="26"/>
      <c r="BY133" s="2"/>
      <c r="BZ133" s="2"/>
    </row>
    <row r="134" spans="1:78" s="1" customFormat="1" x14ac:dyDescent="0.2">
      <c r="A134" s="45"/>
      <c r="D134" s="6"/>
      <c r="E134" s="6"/>
      <c r="I134" s="6"/>
      <c r="J134" s="6"/>
      <c r="K134" s="6"/>
      <c r="L134" s="6"/>
      <c r="M134" s="6"/>
      <c r="N134" s="14"/>
      <c r="O134" s="14"/>
      <c r="P134" s="26"/>
      <c r="BY134" s="2"/>
      <c r="BZ134" s="2"/>
    </row>
    <row r="135" spans="1:78" s="1" customFormat="1" x14ac:dyDescent="0.2">
      <c r="A135" s="45"/>
      <c r="D135" s="6"/>
      <c r="E135" s="6"/>
      <c r="I135" s="6"/>
      <c r="J135" s="6"/>
      <c r="K135" s="6"/>
      <c r="L135" s="6"/>
      <c r="M135" s="6"/>
      <c r="N135" s="14"/>
      <c r="O135" s="14"/>
      <c r="P135" s="26"/>
      <c r="BY135" s="2"/>
      <c r="BZ135" s="2"/>
    </row>
    <row r="136" spans="1:78" s="1" customFormat="1" x14ac:dyDescent="0.2">
      <c r="A136" s="45"/>
      <c r="D136" s="6"/>
      <c r="E136" s="6"/>
      <c r="I136" s="6"/>
      <c r="J136" s="6"/>
      <c r="K136" s="6"/>
      <c r="L136" s="6"/>
      <c r="M136" s="6"/>
      <c r="N136" s="14"/>
      <c r="O136" s="14"/>
      <c r="P136" s="26"/>
    </row>
    <row r="137" spans="1:78" s="1" customFormat="1" x14ac:dyDescent="0.2">
      <c r="A137" s="45"/>
      <c r="D137" s="6"/>
      <c r="E137" s="6"/>
      <c r="I137" s="6"/>
      <c r="J137" s="6"/>
      <c r="K137" s="6"/>
      <c r="L137" s="6"/>
      <c r="M137" s="6"/>
      <c r="N137" s="14"/>
      <c r="O137" s="14"/>
      <c r="P137" s="26"/>
    </row>
    <row r="138" spans="1:78" x14ac:dyDescent="0.2">
      <c r="B138" s="1"/>
      <c r="C138" s="1"/>
      <c r="F138" s="1"/>
      <c r="G138" s="1"/>
      <c r="H138" s="1"/>
      <c r="L138" s="6"/>
      <c r="M138" s="6"/>
    </row>
    <row r="139" spans="1:78" ht="189.75" customHeight="1" x14ac:dyDescent="0.2">
      <c r="B139" s="1"/>
      <c r="C139" s="1"/>
      <c r="F139" s="1"/>
      <c r="G139" s="1"/>
      <c r="H139" s="1"/>
      <c r="L139" s="6"/>
      <c r="M139" s="6"/>
    </row>
    <row r="140" spans="1:78" ht="137.25" customHeight="1" x14ac:dyDescent="0.2">
      <c r="B140" s="1"/>
      <c r="C140" s="1"/>
      <c r="F140" s="1"/>
      <c r="G140" s="1"/>
      <c r="H140" s="1"/>
      <c r="L140" s="6"/>
      <c r="M140" s="6"/>
    </row>
    <row r="141" spans="1:78" ht="13.5" customHeight="1" x14ac:dyDescent="0.2">
      <c r="B141" s="1"/>
      <c r="C141" s="1"/>
      <c r="F141" s="1"/>
      <c r="G141" s="1"/>
      <c r="H141" s="1"/>
      <c r="L141" s="6"/>
      <c r="M141" s="6"/>
    </row>
    <row r="142" spans="1:78" ht="21" customHeight="1" x14ac:dyDescent="0.3">
      <c r="B142" s="1"/>
      <c r="C142" s="453" t="s">
        <v>533</v>
      </c>
      <c r="D142" s="450"/>
      <c r="E142" s="450"/>
      <c r="F142" s="449"/>
      <c r="G142" s="449"/>
      <c r="H142" s="449"/>
      <c r="I142" s="450"/>
      <c r="J142" s="450"/>
      <c r="K142" s="450"/>
      <c r="L142" s="450"/>
      <c r="M142" s="450"/>
    </row>
    <row r="143" spans="1:78" ht="20.25" customHeight="1" thickBot="1" x14ac:dyDescent="0.25">
      <c r="B143" s="1"/>
      <c r="C143" s="1"/>
      <c r="D143" s="1"/>
      <c r="E143" s="1"/>
      <c r="F143" s="1"/>
      <c r="G143" s="1"/>
      <c r="H143" s="1"/>
      <c r="I143" s="7"/>
      <c r="L143" s="6"/>
      <c r="M143" s="6"/>
    </row>
    <row r="144" spans="1:78" ht="24" customHeight="1" x14ac:dyDescent="0.2">
      <c r="B144" s="1"/>
      <c r="C144" s="387" t="s">
        <v>341</v>
      </c>
      <c r="D144" s="1"/>
      <c r="E144" s="391" t="str">
        <f>CONCATENATE(ROUND(F49,0)," kWh")</f>
        <v>15296 kWh</v>
      </c>
      <c r="F144" s="389"/>
      <c r="G144" s="389"/>
      <c r="H144" s="1"/>
      <c r="I144" s="556" t="s">
        <v>552</v>
      </c>
      <c r="J144" s="557"/>
      <c r="K144" s="557"/>
      <c r="L144" s="558"/>
      <c r="M144" s="6"/>
    </row>
    <row r="145" spans="1:13" ht="21" customHeight="1" x14ac:dyDescent="0.2">
      <c r="B145" s="1"/>
      <c r="C145" s="387" t="s">
        <v>346</v>
      </c>
      <c r="D145" s="1"/>
      <c r="E145" s="391" t="str">
        <f>CONCATENATE(ROUND('Consommations et côuts de prod'!C27,0)," kWh")</f>
        <v>3813 kWh</v>
      </c>
      <c r="F145" s="389"/>
      <c r="G145" s="389"/>
      <c r="H145" s="1"/>
      <c r="I145" s="376"/>
      <c r="J145" s="7"/>
      <c r="K145" s="7"/>
      <c r="L145" s="377"/>
      <c r="M145" s="6"/>
    </row>
    <row r="146" spans="1:13" ht="21" customHeight="1" x14ac:dyDescent="0.2">
      <c r="B146" s="1"/>
      <c r="C146" s="387" t="s">
        <v>534</v>
      </c>
      <c r="D146" s="1"/>
      <c r="E146" s="391" t="str">
        <f>CONCATENATE(ROUND('Consommations et côuts de prod'!C20+'Consommations et côuts de prod'!C28,0)," kWh")</f>
        <v>0 kWh</v>
      </c>
      <c r="F146" s="389"/>
      <c r="G146" s="389"/>
      <c r="H146" s="1"/>
      <c r="I146" s="382" t="s">
        <v>553</v>
      </c>
      <c r="J146" s="5"/>
      <c r="K146" s="7"/>
      <c r="L146" s="378" t="str">
        <f>C62</f>
        <v>CBI 20 GS</v>
      </c>
      <c r="M146" s="6"/>
    </row>
    <row r="147" spans="1:13" ht="21" customHeight="1" x14ac:dyDescent="0.2">
      <c r="B147" s="1"/>
      <c r="C147" s="387" t="s">
        <v>543</v>
      </c>
      <c r="D147" s="12"/>
      <c r="E147" s="392" t="str">
        <f>CONCATENATE(ROUND(('Consommations et côuts de prod'!$C$22+'Consommations et côuts de prod'!$C$30)/'Consommations et côuts de prod'!$E$12,0)," kWh")</f>
        <v>20005 kWh</v>
      </c>
      <c r="F147" s="389"/>
      <c r="G147" s="389"/>
      <c r="H147" s="1"/>
      <c r="I147" s="382" t="s">
        <v>554</v>
      </c>
      <c r="J147" s="7"/>
      <c r="K147" s="7"/>
      <c r="L147" s="379">
        <f>PDEL</f>
        <v>20</v>
      </c>
      <c r="M147" s="6"/>
    </row>
    <row r="148" spans="1:13" ht="21" customHeight="1" x14ac:dyDescent="0.25">
      <c r="B148" s="1"/>
      <c r="C148" s="126" t="s">
        <v>542</v>
      </c>
      <c r="D148" s="21"/>
      <c r="E148" s="538" t="str">
        <f>IF(OR(cchaud='BdD Bâtiment'!$B$74,cchaud='BdD Bâtiment'!$B$75),CONCATENATE(ROUND((Résultats!BI17+Résultats!BI44)/5100/'BdD Bâtiment'!C81,1)," tonnes de granulés"),CONCATENATE(ROUND((Résultats!BI17+Résultats!BI44)/1800/'BdD Bâtiment'!C81,0)," Stères"))</f>
        <v>12 Stères</v>
      </c>
      <c r="F148" s="389"/>
      <c r="G148" s="389"/>
      <c r="H148" s="1"/>
      <c r="I148" s="382" t="s">
        <v>555</v>
      </c>
      <c r="J148" s="7"/>
      <c r="K148" s="7"/>
      <c r="L148" s="380">
        <f>Chaudières!$J$37</f>
        <v>0.89900000000000002</v>
      </c>
      <c r="M148" s="6"/>
    </row>
    <row r="149" spans="1:13" ht="24" customHeight="1" x14ac:dyDescent="0.2">
      <c r="B149" s="1"/>
      <c r="C149" s="387" t="s">
        <v>535</v>
      </c>
      <c r="D149" s="1"/>
      <c r="E149" s="391" t="str">
        <f>CONCATENATE(ROUND((1-pbois)*'Consommations et côuts de prod'!C21,0)," kWh")</f>
        <v>901 kWh</v>
      </c>
      <c r="F149" s="389"/>
      <c r="G149" s="389"/>
      <c r="H149" s="1"/>
      <c r="I149" s="376"/>
      <c r="J149" s="7"/>
      <c r="K149" s="7"/>
      <c r="L149" s="381"/>
      <c r="M149" s="6"/>
    </row>
    <row r="150" spans="1:13" ht="21" hidden="1" customHeight="1" x14ac:dyDescent="0.2">
      <c r="B150" s="1"/>
      <c r="C150" s="387"/>
      <c r="D150" s="1"/>
      <c r="E150" s="393"/>
      <c r="F150" s="267"/>
      <c r="G150" s="1"/>
      <c r="H150" s="1"/>
      <c r="I150" s="376"/>
      <c r="J150" s="7"/>
      <c r="K150" s="7"/>
      <c r="L150" s="381"/>
      <c r="M150" s="6"/>
    </row>
    <row r="151" spans="1:13" ht="21" customHeight="1" x14ac:dyDescent="0.2">
      <c r="B151" s="1"/>
      <c r="C151" s="388"/>
      <c r="D151" s="1"/>
      <c r="E151" s="98"/>
      <c r="F151" s="1"/>
      <c r="G151" s="1"/>
      <c r="H151" s="1"/>
      <c r="I151" s="382" t="s">
        <v>564</v>
      </c>
      <c r="J151" s="7"/>
      <c r="K151" s="7"/>
      <c r="L151" s="379">
        <f>Chaudières!$J$39</f>
        <v>1000</v>
      </c>
      <c r="M151" s="6"/>
    </row>
    <row r="152" spans="1:13" ht="18.75" x14ac:dyDescent="0.25">
      <c r="B152" s="1"/>
      <c r="C152" s="387" t="s">
        <v>536</v>
      </c>
      <c r="D152" s="1"/>
      <c r="E152" s="394" t="str">
        <f>CONCATENATE(ROUND('Consommations et côuts de prod'!C56-'Consommations et côuts de prod'!D56,0)," €")</f>
        <v>1462 €</v>
      </c>
      <c r="F152" s="389"/>
      <c r="G152" s="389"/>
      <c r="H152" s="1"/>
      <c r="I152" s="382" t="str">
        <f>IF(OR(Chaudières!$C$35=Chaudières!$F$6,Chaudières!$C$35=Chaudières!$I$6),"","Soit un ballon tampon :")</f>
        <v>Soit un ballon tampon :</v>
      </c>
      <c r="J152" s="5"/>
      <c r="K152" s="383"/>
      <c r="L152" s="409" t="str">
        <f>IF(OR(Chaudières!$C$35=Chaudières!$F$6,Chaudières!$C$35=Chaudières!$I$6),"",Chaudières!$E$61)</f>
        <v>PS 1000-2</v>
      </c>
      <c r="M152" s="6"/>
    </row>
    <row r="153" spans="1:13" ht="5.25" customHeight="1" thickBot="1" x14ac:dyDescent="0.25">
      <c r="B153" s="1"/>
      <c r="H153" s="1"/>
      <c r="I153" s="384"/>
      <c r="J153" s="385"/>
      <c r="K153" s="385"/>
      <c r="L153" s="386"/>
      <c r="M153" s="6"/>
    </row>
    <row r="154" spans="1:13" x14ac:dyDescent="0.2">
      <c r="B154" s="1"/>
      <c r="L154" s="6"/>
      <c r="M154" s="6"/>
    </row>
    <row r="155" spans="1:13" x14ac:dyDescent="0.2">
      <c r="B155" s="1"/>
      <c r="L155" s="6"/>
      <c r="M155" s="6"/>
    </row>
    <row r="156" spans="1:13" x14ac:dyDescent="0.2">
      <c r="B156" s="1"/>
      <c r="L156" s="6"/>
      <c r="M156" s="6"/>
    </row>
    <row r="157" spans="1:13" x14ac:dyDescent="0.2">
      <c r="B157" s="1"/>
      <c r="L157" s="6"/>
      <c r="M157" s="6"/>
    </row>
    <row r="158" spans="1:13" ht="20.25" customHeight="1" x14ac:dyDescent="0.2">
      <c r="A158" s="105"/>
      <c r="C158" s="517" t="s">
        <v>810</v>
      </c>
      <c r="D158" s="518"/>
      <c r="E158" s="518"/>
      <c r="F158" s="519"/>
      <c r="G158" s="519"/>
      <c r="H158" s="519"/>
      <c r="I158" s="518"/>
      <c r="J158" s="518"/>
      <c r="K158" s="518"/>
      <c r="L158" s="518"/>
      <c r="M158" s="518"/>
    </row>
    <row r="159" spans="1:13" ht="21" customHeight="1" x14ac:dyDescent="0.2">
      <c r="A159" s="105"/>
      <c r="C159" s="520" t="s">
        <v>507</v>
      </c>
      <c r="D159" s="518"/>
      <c r="E159" s="519"/>
      <c r="F159" s="518"/>
      <c r="G159" s="518"/>
      <c r="H159" s="518"/>
      <c r="I159" s="518"/>
      <c r="J159" s="518"/>
      <c r="K159" s="518"/>
      <c r="L159" s="518"/>
      <c r="M159" s="518"/>
    </row>
    <row r="160" spans="1:13" ht="19.5" customHeight="1" x14ac:dyDescent="0.2">
      <c r="A160" s="105"/>
      <c r="C160" s="520" t="s">
        <v>417</v>
      </c>
      <c r="D160" s="450"/>
      <c r="E160" s="449"/>
      <c r="F160" s="450"/>
      <c r="G160" s="450"/>
      <c r="H160" s="450"/>
      <c r="I160" s="450"/>
      <c r="J160" s="450"/>
      <c r="K160" s="450"/>
      <c r="L160" s="450"/>
      <c r="M160" s="518"/>
    </row>
    <row r="161" spans="1:13" ht="19.5" customHeight="1" x14ac:dyDescent="0.2">
      <c r="C161" s="519" t="s">
        <v>733</v>
      </c>
      <c r="D161" s="450"/>
      <c r="E161" s="449"/>
      <c r="F161" s="450"/>
      <c r="G161" s="450"/>
      <c r="H161" s="450"/>
      <c r="I161" s="450"/>
      <c r="J161" s="450"/>
      <c r="K161" s="450"/>
      <c r="L161" s="450"/>
      <c r="M161" s="518"/>
    </row>
    <row r="162" spans="1:13" ht="66.75" customHeight="1" x14ac:dyDescent="0.2">
      <c r="A162" s="105"/>
      <c r="C162" s="45"/>
      <c r="D162" s="56"/>
      <c r="E162" s="45"/>
      <c r="F162" s="56"/>
      <c r="G162" s="56"/>
      <c r="H162" s="56"/>
      <c r="I162" s="56"/>
      <c r="J162" s="56"/>
      <c r="K162" s="56"/>
      <c r="L162" s="56"/>
      <c r="M162" s="106"/>
    </row>
    <row r="163" spans="1:13" ht="27.75" customHeight="1" x14ac:dyDescent="0.2">
      <c r="A163" s="105"/>
      <c r="C163" s="45"/>
      <c r="D163" s="56"/>
      <c r="E163" s="45"/>
      <c r="F163" s="56"/>
      <c r="G163" s="56"/>
      <c r="H163" s="56"/>
      <c r="I163" s="56"/>
      <c r="J163" s="56"/>
      <c r="K163" s="56"/>
      <c r="L163" s="56"/>
      <c r="M163" s="106"/>
    </row>
    <row r="164" spans="1:13" ht="36.75" hidden="1" customHeight="1" x14ac:dyDescent="0.2">
      <c r="A164" s="105"/>
      <c r="C164" s="45"/>
      <c r="D164" s="56"/>
      <c r="E164" s="45"/>
      <c r="F164" s="56"/>
      <c r="G164" s="56"/>
      <c r="H164" s="56"/>
      <c r="I164" s="56"/>
      <c r="J164" s="56"/>
      <c r="K164" s="56"/>
      <c r="L164" s="56"/>
      <c r="M164" s="106"/>
    </row>
    <row r="165" spans="1:13" ht="18.75" customHeight="1" x14ac:dyDescent="0.2">
      <c r="A165" s="105"/>
      <c r="C165" s="45"/>
      <c r="D165" s="56"/>
      <c r="E165" s="45"/>
      <c r="F165" s="56"/>
      <c r="G165" s="56"/>
      <c r="H165" s="56"/>
      <c r="I165" s="56"/>
      <c r="J165" s="56"/>
      <c r="K165" s="56"/>
      <c r="L165" s="56"/>
      <c r="M165" s="107"/>
    </row>
    <row r="166" spans="1:13" ht="18.75" customHeight="1" x14ac:dyDescent="0.2">
      <c r="A166" s="105"/>
      <c r="C166" s="45"/>
      <c r="D166" s="56"/>
      <c r="E166" s="45"/>
      <c r="F166" s="56"/>
      <c r="G166" s="56"/>
      <c r="H166" s="56"/>
      <c r="I166" s="56"/>
      <c r="J166" s="56"/>
      <c r="K166" s="56"/>
      <c r="L166" s="56"/>
      <c r="M166" s="56"/>
    </row>
    <row r="167" spans="1:13" ht="20.25" customHeight="1" x14ac:dyDescent="0.2">
      <c r="A167" s="105"/>
      <c r="C167" s="45"/>
      <c r="D167" s="56"/>
      <c r="E167" s="45"/>
      <c r="F167" s="56"/>
      <c r="G167" s="56"/>
      <c r="H167" s="56"/>
      <c r="I167" s="56"/>
      <c r="J167" s="56"/>
      <c r="K167" s="56"/>
      <c r="L167" s="56"/>
      <c r="M167" s="56"/>
    </row>
    <row r="168" spans="1:13" ht="18.75" customHeight="1" x14ac:dyDescent="0.2">
      <c r="A168" s="105"/>
      <c r="M168" s="56"/>
    </row>
    <row r="169" spans="1:13" ht="18.75" customHeight="1" x14ac:dyDescent="0.2">
      <c r="A169" s="105"/>
      <c r="M169" s="56"/>
    </row>
    <row r="170" spans="1:13" ht="18.75" customHeight="1" x14ac:dyDescent="0.2">
      <c r="A170" s="105"/>
      <c r="M170" s="56"/>
    </row>
    <row r="171" spans="1:13" ht="99.75" customHeight="1" x14ac:dyDescent="0.2">
      <c r="A171" s="105"/>
      <c r="M171" s="56"/>
    </row>
    <row r="172" spans="1:13" ht="12.75" customHeight="1" x14ac:dyDescent="0.2">
      <c r="A172" s="105"/>
      <c r="M172" s="56"/>
    </row>
    <row r="173" spans="1:13" ht="15.75" customHeight="1" x14ac:dyDescent="0.2">
      <c r="A173" s="105"/>
    </row>
    <row r="174" spans="1:13" ht="15.75" customHeight="1" x14ac:dyDescent="0.2">
      <c r="A174" s="105"/>
    </row>
    <row r="175" spans="1:13" ht="15" customHeight="1" x14ac:dyDescent="0.2">
      <c r="A175" s="105"/>
    </row>
    <row r="176" spans="1:13" ht="24.75" customHeight="1" x14ac:dyDescent="0.2">
      <c r="A176" s="105"/>
    </row>
    <row r="177" spans="1:1" ht="27" customHeight="1" x14ac:dyDescent="0.2">
      <c r="A177" s="105"/>
    </row>
    <row r="178" spans="1:1" ht="14.25" customHeight="1" x14ac:dyDescent="0.2">
      <c r="A178" s="105"/>
    </row>
    <row r="179" spans="1:1" ht="14.25" customHeight="1" x14ac:dyDescent="0.2">
      <c r="A179" s="105"/>
    </row>
    <row r="180" spans="1:1" ht="14.25" customHeight="1" x14ac:dyDescent="0.2">
      <c r="A180" s="105"/>
    </row>
    <row r="181" spans="1:1" ht="14.25" customHeight="1" x14ac:dyDescent="0.2">
      <c r="A181" s="105"/>
    </row>
    <row r="182" spans="1:1" ht="14.25" customHeight="1" x14ac:dyDescent="0.2">
      <c r="A182" s="105"/>
    </row>
    <row r="183" spans="1:1" ht="14.25" customHeight="1" x14ac:dyDescent="0.2">
      <c r="A183" s="105"/>
    </row>
    <row r="184" spans="1:1" ht="14.25" customHeight="1" x14ac:dyDescent="0.2">
      <c r="A184" s="105"/>
    </row>
    <row r="185" spans="1:1" ht="14.25" customHeight="1" x14ac:dyDescent="0.2">
      <c r="A185" s="105"/>
    </row>
    <row r="186" spans="1:1" ht="14.25" customHeight="1" x14ac:dyDescent="0.2">
      <c r="A186" s="105"/>
    </row>
    <row r="187" spans="1:1" ht="14.25" customHeight="1" x14ac:dyDescent="0.2">
      <c r="A187" s="105"/>
    </row>
    <row r="188" spans="1:1" ht="14.25" customHeight="1" x14ac:dyDescent="0.2">
      <c r="A188" s="105"/>
    </row>
    <row r="189" spans="1:1" ht="14.25" customHeight="1" x14ac:dyDescent="0.2">
      <c r="A189" s="105"/>
    </row>
    <row r="190" spans="1:1" ht="14.25" customHeight="1" x14ac:dyDescent="0.2">
      <c r="A190" s="105"/>
    </row>
    <row r="191" spans="1:1" ht="14.25" customHeight="1" x14ac:dyDescent="0.2">
      <c r="A191" s="105"/>
    </row>
    <row r="192" spans="1:1" ht="14.25" customHeight="1" x14ac:dyDescent="0.2">
      <c r="A192" s="105"/>
    </row>
    <row r="193" spans="1:1" ht="14.25" customHeight="1" x14ac:dyDescent="0.2">
      <c r="A193" s="105"/>
    </row>
    <row r="194" spans="1:1" ht="14.25" customHeight="1" x14ac:dyDescent="0.2">
      <c r="A194" s="105"/>
    </row>
    <row r="195" spans="1:1" ht="14.25" customHeight="1" x14ac:dyDescent="0.2">
      <c r="A195" s="105"/>
    </row>
    <row r="196" spans="1:1" ht="14.25" customHeight="1" x14ac:dyDescent="0.2">
      <c r="A196" s="105"/>
    </row>
    <row r="197" spans="1:1" ht="14.25" customHeight="1" x14ac:dyDescent="0.2">
      <c r="A197" s="105"/>
    </row>
    <row r="198" spans="1:1" ht="14.25" customHeight="1" x14ac:dyDescent="0.2">
      <c r="A198" s="105"/>
    </row>
    <row r="199" spans="1:1" ht="14.25" customHeight="1" x14ac:dyDescent="0.2">
      <c r="A199" s="105"/>
    </row>
    <row r="200" spans="1:1" ht="14.25" customHeight="1" x14ac:dyDescent="0.2">
      <c r="A200" s="105"/>
    </row>
    <row r="201" spans="1:1" ht="14.25" customHeight="1" x14ac:dyDescent="0.2">
      <c r="A201" s="105"/>
    </row>
    <row r="202" spans="1:1" ht="14.25" customHeight="1" x14ac:dyDescent="0.2">
      <c r="A202" s="105"/>
    </row>
    <row r="203" spans="1:1" ht="14.25" customHeight="1" x14ac:dyDescent="0.2">
      <c r="A203" s="105"/>
    </row>
    <row r="204" spans="1:1" ht="14.25" customHeight="1" x14ac:dyDescent="0.2">
      <c r="A204" s="105"/>
    </row>
    <row r="205" spans="1:1" ht="14.25" customHeight="1" x14ac:dyDescent="0.2">
      <c r="A205" s="105"/>
    </row>
    <row r="206" spans="1:1" ht="14.25" customHeight="1" x14ac:dyDescent="0.2">
      <c r="A206" s="105"/>
    </row>
    <row r="207" spans="1:1" ht="14.25" customHeight="1" x14ac:dyDescent="0.2">
      <c r="A207" s="105"/>
    </row>
    <row r="208" spans="1:1" ht="14.25" customHeight="1" x14ac:dyDescent="0.2">
      <c r="A208" s="105"/>
    </row>
    <row r="209" spans="1:1" ht="15" customHeight="1" x14ac:dyDescent="0.2">
      <c r="A209" s="105"/>
    </row>
    <row r="210" spans="1:1" ht="20.25" customHeight="1" x14ac:dyDescent="0.2">
      <c r="A210" s="105"/>
    </row>
    <row r="211" spans="1:1" ht="18.75" customHeight="1" x14ac:dyDescent="0.2">
      <c r="A211" s="105"/>
    </row>
    <row r="212" spans="1:1" ht="12.75" customHeight="1" x14ac:dyDescent="0.2">
      <c r="A212" s="105"/>
    </row>
    <row r="213" spans="1:1" ht="12.75" customHeight="1" x14ac:dyDescent="0.2">
      <c r="A213" s="105"/>
    </row>
    <row r="214" spans="1:1" ht="18.75" customHeight="1" x14ac:dyDescent="0.2">
      <c r="A214" s="105"/>
    </row>
    <row r="215" spans="1:1" ht="18.75" customHeight="1" x14ac:dyDescent="0.2">
      <c r="A215" s="105"/>
    </row>
    <row r="216" spans="1:1" ht="18.75" customHeight="1" x14ac:dyDescent="0.2">
      <c r="A216" s="105"/>
    </row>
    <row r="217" spans="1:1" ht="12.75" customHeight="1" x14ac:dyDescent="0.2">
      <c r="A217" s="105"/>
    </row>
    <row r="218" spans="1:1" ht="12.75" customHeight="1" x14ac:dyDescent="0.2">
      <c r="A218" s="105"/>
    </row>
    <row r="219" spans="1:1" ht="12.75" customHeight="1" x14ac:dyDescent="0.2"/>
    <row r="220" spans="1:1" ht="12.75" customHeight="1" x14ac:dyDescent="0.2"/>
    <row r="221" spans="1:1" ht="12.75" customHeight="1" x14ac:dyDescent="0.2"/>
    <row r="222" spans="1:1" ht="12.75" customHeight="1" x14ac:dyDescent="0.2"/>
    <row r="224" spans="1:1" ht="24" customHeight="1" x14ac:dyDescent="0.2"/>
    <row r="225" ht="57" customHeight="1" x14ac:dyDescent="0.2"/>
    <row r="226" ht="12.75" hidden="1" customHeight="1" x14ac:dyDescent="0.2"/>
  </sheetData>
  <sheetProtection algorithmName="SHA-512" hashValue="8Zxu7yRk2iaLHlfgsrNBK6v9G411R2WBjaYVLlTcUetS8oZ3pM4xwhQPJ/RDmCGM6HvK4W7v7EsC7i9CWF+Bsg==" saltValue="pG7jZ8Kdl7IeX8kxSsy66Q==" spinCount="100000" sheet="1"/>
  <protectedRanges>
    <protectedRange sqref="C14 F14 C19 F19 L19 L22 F22 C22 C30 C33 F33 C36 C39 C54 C57 C46 F46 L46 L57 F57 C62 F62 D6:L8" name="Plage1"/>
  </protectedRanges>
  <mergeCells count="54">
    <mergeCell ref="H75:I75"/>
    <mergeCell ref="J75:K75"/>
    <mergeCell ref="D69:E69"/>
    <mergeCell ref="D70:E70"/>
    <mergeCell ref="D71:E71"/>
    <mergeCell ref="D72:E72"/>
    <mergeCell ref="D73:E73"/>
    <mergeCell ref="H70:I70"/>
    <mergeCell ref="H71:I71"/>
    <mergeCell ref="H72:I72"/>
    <mergeCell ref="H73:I73"/>
    <mergeCell ref="J69:K69"/>
    <mergeCell ref="J70:K70"/>
    <mergeCell ref="J71:K71"/>
    <mergeCell ref="J72:K72"/>
    <mergeCell ref="J73:K73"/>
    <mergeCell ref="I144:L144"/>
    <mergeCell ref="P2:Q2"/>
    <mergeCell ref="F54:H54"/>
    <mergeCell ref="F57:H57"/>
    <mergeCell ref="F33:H33"/>
    <mergeCell ref="F39:H39"/>
    <mergeCell ref="F49:H49"/>
    <mergeCell ref="F14:H14"/>
    <mergeCell ref="F19:H19"/>
    <mergeCell ref="F22:H22"/>
    <mergeCell ref="F25:H25"/>
    <mergeCell ref="F43:H43"/>
    <mergeCell ref="F36:H36"/>
    <mergeCell ref="F46:H46"/>
    <mergeCell ref="F65:G65"/>
    <mergeCell ref="D6:L6"/>
    <mergeCell ref="D7:L7"/>
    <mergeCell ref="D8:L8"/>
    <mergeCell ref="F62:H62"/>
    <mergeCell ref="H65:I65"/>
    <mergeCell ref="J65:K65"/>
    <mergeCell ref="I49:K49"/>
    <mergeCell ref="D75:E75"/>
    <mergeCell ref="D74:E74"/>
    <mergeCell ref="F69:G69"/>
    <mergeCell ref="F70:G70"/>
    <mergeCell ref="F71:G71"/>
    <mergeCell ref="F72:G72"/>
    <mergeCell ref="F73:G73"/>
    <mergeCell ref="F75:G75"/>
    <mergeCell ref="H69:I69"/>
    <mergeCell ref="D65:E65"/>
    <mergeCell ref="D68:E68"/>
    <mergeCell ref="D66:E66"/>
    <mergeCell ref="F68:K68"/>
    <mergeCell ref="F66:G66"/>
    <mergeCell ref="H66:I66"/>
    <mergeCell ref="J66:K66"/>
  </mergeCells>
  <phoneticPr fontId="3" type="noConversion"/>
  <conditionalFormatting sqref="F61 C37:L37 M31:M34 C31:L31 C35:K35 C36:F36 I36:K36">
    <cfRule type="expression" dxfId="19" priority="15" stopIfTrue="1">
      <formula>$C$30="OUI"</formula>
    </cfRule>
  </conditionalFormatting>
  <conditionalFormatting sqref="L45:L46">
    <cfRule type="expression" dxfId="18" priority="16" stopIfTrue="1">
      <formula>$C$46="CESI"</formula>
    </cfRule>
    <cfRule type="expression" dxfId="17" priority="17" stopIfTrue="1">
      <formula>$C$46="NON"</formula>
    </cfRule>
  </conditionalFormatting>
  <conditionalFormatting sqref="F45 F46:H46">
    <cfRule type="expression" dxfId="16" priority="18" stopIfTrue="1">
      <formula>$C$46="NON"</formula>
    </cfRule>
  </conditionalFormatting>
  <conditionalFormatting sqref="L24:L25">
    <cfRule type="expression" dxfId="15" priority="19" stopIfTrue="1">
      <formula>AND($C$25="Plancher chauffant",$F$25&lt;&gt;"Radiateurs")</formula>
    </cfRule>
  </conditionalFormatting>
  <conditionalFormatting sqref="F21:H22">
    <cfRule type="expression" dxfId="14" priority="23" stopIfTrue="1">
      <formula>$C$22="Chauffage électrique"</formula>
    </cfRule>
    <cfRule type="expression" dxfId="13" priority="24" stopIfTrue="1">
      <formula>$C$22="Bois"</formula>
    </cfRule>
  </conditionalFormatting>
  <conditionalFormatting sqref="C58">
    <cfRule type="expression" dxfId="12" priority="25" stopIfTrue="1">
      <formula>$C$57&lt;&gt;"Bois seul"</formula>
    </cfRule>
  </conditionalFormatting>
  <conditionalFormatting sqref="F69:F73">
    <cfRule type="expression" dxfId="11" priority="29">
      <formula>F$65=""</formula>
    </cfRule>
  </conditionalFormatting>
  <conditionalFormatting sqref="F69:F73 H69:H73 J69:J73">
    <cfRule type="expression" dxfId="10" priority="31">
      <formula>$F$62=0</formula>
    </cfRule>
  </conditionalFormatting>
  <conditionalFormatting sqref="F69:F73 H69:H73 J69:J73">
    <cfRule type="cellIs" dxfId="9" priority="40" operator="lessThan">
      <formula>$F$62</formula>
    </cfRule>
  </conditionalFormatting>
  <conditionalFormatting sqref="J69:J73">
    <cfRule type="expression" dxfId="8" priority="35">
      <formula>J$65=""</formula>
    </cfRule>
  </conditionalFormatting>
  <conditionalFormatting sqref="H69:H73">
    <cfRule type="expression" dxfId="7" priority="2">
      <formula>H$65=""</formula>
    </cfRule>
  </conditionalFormatting>
  <conditionalFormatting sqref="F65:G66">
    <cfRule type="expression" dxfId="6" priority="6">
      <formula>$F$75=1</formula>
    </cfRule>
  </conditionalFormatting>
  <conditionalFormatting sqref="H65:I66">
    <cfRule type="expression" dxfId="5" priority="5">
      <formula>$H$75=1</formula>
    </cfRule>
  </conditionalFormatting>
  <conditionalFormatting sqref="J65:K66">
    <cfRule type="expression" dxfId="4" priority="4">
      <formula>$J$75=1</formula>
    </cfRule>
  </conditionalFormatting>
  <dataValidations count="23">
    <dataValidation type="whole" allowBlank="1" showInputMessage="1" showErrorMessage="1" sqref="L46 F46 O53:O54 P55" xr:uid="{00000000-0002-0000-0000-000000000000}">
      <formula1>0</formula1>
      <formula2>100</formula2>
    </dataValidation>
    <dataValidation type="list" showInputMessage="1" showErrorMessage="1" sqref="F57" xr:uid="{00000000-0002-0000-0000-000001000000}">
      <formula1>TCHAUD</formula1>
    </dataValidation>
    <dataValidation type="list" showInputMessage="1" showErrorMessage="1" sqref="C46" xr:uid="{00000000-0002-0000-0000-000002000000}">
      <formula1>SOLAIRE</formula1>
    </dataValidation>
    <dataValidation type="list" showInputMessage="1" showErrorMessage="1" sqref="C57" xr:uid="{00000000-0002-0000-0000-000003000000}">
      <formula1>APPPOINT</formula1>
    </dataValidation>
    <dataValidation type="list" showInputMessage="1" showErrorMessage="1" sqref="F33" xr:uid="{00000000-0002-0000-0000-000004000000}">
      <formula1>consoecs</formula1>
    </dataValidation>
    <dataValidation type="whole" allowBlank="1" showInputMessage="1" showErrorMessage="1" sqref="C33" xr:uid="{00000000-0002-0000-0000-000005000000}">
      <formula1>0</formula1>
      <formula2>10</formula2>
    </dataValidation>
    <dataValidation showInputMessage="1" showErrorMessage="1" sqref="C39" xr:uid="{00000000-0002-0000-0000-000006000000}"/>
    <dataValidation type="list" showInputMessage="1" showErrorMessage="1" sqref="O25" xr:uid="{00000000-0002-0000-0000-000007000000}">
      <formula1>ECCS</formula1>
    </dataValidation>
    <dataValidation type="list" showInputMessage="1" showErrorMessage="1" sqref="C25" xr:uid="{00000000-0002-0000-0000-000008000000}">
      <formula1>circuit1</formula1>
    </dataValidation>
    <dataValidation type="list" allowBlank="1" showInputMessage="1" showErrorMessage="1" sqref="F25" xr:uid="{00000000-0002-0000-0000-000009000000}">
      <formula1>circuit2</formula1>
    </dataValidation>
    <dataValidation type="list" showInputMessage="1" showErrorMessage="1" sqref="L22" xr:uid="{00000000-0002-0000-0000-00000A000000}">
      <formula1>TYPEECS</formula1>
    </dataValidation>
    <dataValidation type="list" allowBlank="1" showInputMessage="1" showErrorMessage="1" sqref="F22" xr:uid="{00000000-0002-0000-0000-00000B000000}">
      <formula1>typechaud</formula1>
    </dataValidation>
    <dataValidation type="list" allowBlank="1" showInputMessage="1" showErrorMessage="1" sqref="C22" xr:uid="{00000000-0002-0000-0000-00000C000000}">
      <formula1>typeenergie</formula1>
    </dataValidation>
    <dataValidation type="whole" showInputMessage="1" showErrorMessage="1" sqref="L19" xr:uid="{00000000-0002-0000-0000-00000D000000}">
      <formula1>10</formula1>
      <formula2>30</formula2>
    </dataValidation>
    <dataValidation type="decimal" allowBlank="1" showInputMessage="1" showErrorMessage="1" sqref="F19" xr:uid="{00000000-0002-0000-0000-00000E000000}">
      <formula1>0</formula1>
      <formula2>5</formula2>
    </dataValidation>
    <dataValidation type="decimal" allowBlank="1" showInputMessage="1" showErrorMessage="1" sqref="C19" xr:uid="{00000000-0002-0000-0000-00000F000000}">
      <formula1>0</formula1>
      <formula2>600</formula2>
    </dataValidation>
    <dataValidation type="list" allowBlank="1" showInputMessage="1" showErrorMessage="1" sqref="C14" xr:uid="{00000000-0002-0000-0000-000010000000}">
      <formula1>Département</formula1>
    </dataValidation>
    <dataValidation type="list" allowBlank="1" showInputMessage="1" showErrorMessage="1" sqref="F14" xr:uid="{00000000-0002-0000-0000-000011000000}">
      <formula1>Altitude</formula1>
    </dataValidation>
    <dataValidation type="list" allowBlank="1" showInputMessage="1" showErrorMessage="1" sqref="C30" xr:uid="{00000000-0002-0000-0000-000012000000}">
      <formula1>"OUI,NON"</formula1>
    </dataValidation>
    <dataValidation type="list" operator="greaterThan" allowBlank="1" showInputMessage="1" showErrorMessage="1" sqref="C54" xr:uid="{00000000-0002-0000-0000-000013000000}">
      <formula1>chaud</formula1>
    </dataValidation>
    <dataValidation type="list" allowBlank="1" showInputMessage="1" showErrorMessage="1" sqref="C62" xr:uid="{00000000-0002-0000-0000-000014000000}">
      <formula1>modele</formula1>
    </dataValidation>
    <dataValidation type="list" showInputMessage="1" showErrorMessage="1" sqref="L57" xr:uid="{00000000-0002-0000-0000-000015000000}">
      <formula1>ecss</formula1>
    </dataValidation>
    <dataValidation type="whole" operator="greaterThanOrEqual" allowBlank="1" showInputMessage="1" showErrorMessage="1" sqref="U20:U28" xr:uid="{00000000-0002-0000-0000-000016000000}">
      <formula1>0</formula1>
    </dataValidation>
  </dataValidations>
  <printOptions horizontalCentered="1" verticalCentered="1"/>
  <pageMargins left="0.31496062992125984" right="0.23622047244094491" top="0.19685039370078741" bottom="0.15748031496062992" header="0.19685039370078741" footer="0.15748031496062992"/>
  <pageSetup paperSize="9" scale="54" orientation="portrait" r:id="rId1"/>
  <headerFooter alignWithMargins="0"/>
  <rowBreaks count="1" manualBreakCount="1">
    <brk id="84" min="1" max="12" man="1"/>
  </row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818865E-82DF-46EB-A8C0-3714C0555959}">
            <xm:f>$C$57&lt;&gt;'BdD Bâtiment'!$B$79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F56:H57</xm:sqref>
        </x14:conditionalFormatting>
        <x14:conditionalFormatting xmlns:xm="http://schemas.microsoft.com/office/excel/2006/main">
          <x14:cfRule type="expression" priority="3" id="{84933944-FAF2-4B62-B04E-06C5572A753F}">
            <xm:f>AND($C$62&lt;&gt;'BdD Bâtiment'!$J$87,$C$62&lt;&gt;'BdD Bâtiment'!$J$88,$C$62&lt;&gt;'BdD Bâtiment'!$J$89)</xm:f>
            <x14:dxf>
              <font>
                <b/>
                <i val="0"/>
              </font>
              <fill>
                <patternFill>
                  <bgColor rgb="FFFF0000"/>
                </patternFill>
              </fill>
            </x14:dxf>
          </x14:cfRule>
          <xm:sqref>C62</xm:sqref>
        </x14:conditionalFormatting>
        <x14:conditionalFormatting xmlns:xm="http://schemas.microsoft.com/office/excel/2006/main">
          <x14:cfRule type="expression" priority="30" id="{9FA7A5DB-085B-44AA-A7D9-11CE20510F92}">
            <xm:f>OR($C$54=Chaudières!$F$6,$C$54=Chaudières!$I$6)</xm:f>
            <x14:dxf>
              <fill>
                <patternFill>
                  <bgColor theme="0"/>
                </patternFill>
              </fill>
            </x14:dxf>
          </x14:cfRule>
          <xm:sqref>F69:K73</xm:sqref>
        </x14:conditionalFormatting>
        <x14:conditionalFormatting xmlns:xm="http://schemas.microsoft.com/office/excel/2006/main">
          <x14:cfRule type="expression" priority="1" id="{BA9A94FC-52FC-4F40-90BA-999D1F047F51}">
            <xm:f>OR(Chaudières!$C$35=Chaudières!$F$6,Chaudières!$C$35=Chaudières!$I$6)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F61:H62 F77:G79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pageSetUpPr fitToPage="1"/>
  </sheetPr>
  <dimension ref="A1:BU233"/>
  <sheetViews>
    <sheetView showGridLines="0" showRowColHeaders="0" zoomScaleNormal="100" workbookViewId="0">
      <selection activeCell="D2" sqref="D2:J2"/>
    </sheetView>
  </sheetViews>
  <sheetFormatPr baseColWidth="10" defaultRowHeight="12.75" x14ac:dyDescent="0.2"/>
  <cols>
    <col min="1" max="1" width="2.42578125" style="2" customWidth="1"/>
    <col min="2" max="2" width="2.85546875" style="2" customWidth="1"/>
    <col min="3" max="3" width="25.28515625" style="2" customWidth="1"/>
    <col min="4" max="7" width="21.7109375" style="2" customWidth="1"/>
    <col min="8" max="8" width="24" style="2" customWidth="1"/>
    <col min="9" max="9" width="21.7109375" style="2" customWidth="1"/>
    <col min="10" max="10" width="2.7109375" style="2" customWidth="1"/>
    <col min="11" max="11" width="10.42578125" style="45" customWidth="1"/>
    <col min="12" max="12" width="8.85546875" style="45" customWidth="1"/>
    <col min="13" max="13" width="19.5703125" style="45" customWidth="1"/>
    <col min="14" max="14" width="6.140625" style="45" customWidth="1"/>
    <col min="15" max="32" width="11.42578125" style="45"/>
    <col min="33" max="16384" width="11.42578125" style="2"/>
  </cols>
  <sheetData>
    <row r="1" spans="1:73" s="12" customFormat="1" ht="15" customHeight="1" x14ac:dyDescent="0.2">
      <c r="A1" s="80"/>
      <c r="B1" s="80"/>
      <c r="C1" s="80"/>
      <c r="D1" s="80"/>
      <c r="E1" s="80"/>
      <c r="F1" s="80"/>
      <c r="G1" s="81"/>
      <c r="H1" s="82"/>
      <c r="I1" s="82"/>
      <c r="J1" s="82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6"/>
      <c r="AC1" s="46"/>
      <c r="AD1" s="46"/>
      <c r="AE1" s="46"/>
      <c r="AF1" s="46"/>
    </row>
    <row r="2" spans="1:73" s="12" customFormat="1" ht="34.5" x14ac:dyDescent="0.2">
      <c r="A2" s="83"/>
      <c r="B2" s="83"/>
      <c r="C2" s="83"/>
      <c r="D2" s="616" t="s">
        <v>37</v>
      </c>
      <c r="E2" s="616"/>
      <c r="F2" s="616"/>
      <c r="G2" s="616"/>
      <c r="H2" s="616"/>
      <c r="I2" s="616"/>
      <c r="J2" s="616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6"/>
      <c r="AC2" s="46"/>
      <c r="AD2" s="46"/>
      <c r="AE2" s="46"/>
      <c r="AF2" s="46"/>
    </row>
    <row r="3" spans="1:73" s="12" customFormat="1" ht="15" customHeight="1" x14ac:dyDescent="0.3">
      <c r="A3" s="84"/>
      <c r="B3" s="84"/>
      <c r="C3" s="84"/>
      <c r="D3" s="84"/>
      <c r="E3" s="84"/>
      <c r="F3" s="84"/>
      <c r="G3" s="85"/>
      <c r="H3" s="86"/>
      <c r="I3" s="86"/>
      <c r="J3" s="86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6"/>
      <c r="AC3" s="46"/>
      <c r="AD3" s="46"/>
      <c r="AE3" s="46"/>
      <c r="AF3" s="46"/>
    </row>
    <row r="4" spans="1:73" s="12" customFormat="1" ht="6.75" customHeight="1" x14ac:dyDescent="0.3">
      <c r="A4" s="87"/>
      <c r="B4" s="87"/>
      <c r="C4" s="87"/>
      <c r="D4" s="87"/>
      <c r="E4" s="87"/>
      <c r="F4" s="87"/>
      <c r="G4" s="85"/>
      <c r="H4" s="86"/>
      <c r="I4" s="86"/>
      <c r="J4" s="86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6"/>
      <c r="AC4" s="46"/>
      <c r="AD4" s="46"/>
      <c r="AE4" s="46"/>
      <c r="AF4" s="46"/>
    </row>
    <row r="5" spans="1:73" s="13" customFormat="1" ht="12" customHeight="1" x14ac:dyDescent="0.2">
      <c r="A5" s="88"/>
      <c r="B5" s="88"/>
      <c r="C5" s="88"/>
      <c r="D5" s="88"/>
      <c r="E5" s="88"/>
      <c r="F5" s="88"/>
      <c r="G5" s="88"/>
      <c r="H5" s="89"/>
      <c r="I5" s="89"/>
      <c r="J5" s="73" t="str">
        <f>Données!C10</f>
        <v>Version 04/2020</v>
      </c>
      <c r="K5" s="47"/>
      <c r="L5" s="47"/>
      <c r="M5" s="48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9"/>
      <c r="AC5" s="49"/>
      <c r="AD5" s="49"/>
      <c r="AE5" s="49"/>
      <c r="AF5" s="49"/>
    </row>
    <row r="6" spans="1:73" ht="3" customHeight="1" x14ac:dyDescent="0.2">
      <c r="A6" s="45"/>
      <c r="B6" s="45"/>
      <c r="C6" s="45"/>
      <c r="D6" s="45"/>
      <c r="E6" s="45"/>
      <c r="F6" s="45"/>
      <c r="G6" s="45"/>
      <c r="H6" s="56"/>
      <c r="I6" s="56"/>
      <c r="J6" s="48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</row>
    <row r="7" spans="1:73" ht="18" customHeight="1" x14ac:dyDescent="0.25">
      <c r="A7" s="45"/>
      <c r="B7" s="45"/>
      <c r="C7" s="53"/>
      <c r="D7" s="54"/>
      <c r="E7" s="54"/>
      <c r="F7" s="54"/>
      <c r="G7" s="55"/>
      <c r="H7" s="56"/>
      <c r="I7" s="57"/>
      <c r="J7" s="57"/>
      <c r="K7" s="50"/>
      <c r="L7" s="51"/>
      <c r="M7" s="50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</row>
    <row r="8" spans="1:73" ht="18" customHeight="1" x14ac:dyDescent="0.3">
      <c r="A8" s="45"/>
      <c r="B8" s="101"/>
      <c r="C8" s="100" t="s">
        <v>35</v>
      </c>
      <c r="D8" s="109"/>
      <c r="E8" s="109"/>
      <c r="F8" s="109"/>
      <c r="G8" s="110"/>
      <c r="H8" s="102"/>
      <c r="I8" s="111"/>
      <c r="J8" s="111"/>
      <c r="K8" s="50"/>
      <c r="L8" s="51"/>
      <c r="M8" s="50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</row>
    <row r="9" spans="1:73" ht="3" customHeight="1" x14ac:dyDescent="0.25">
      <c r="A9" s="45"/>
      <c r="B9" s="101"/>
      <c r="C9" s="108"/>
      <c r="D9" s="109"/>
      <c r="E9" s="109"/>
      <c r="F9" s="109"/>
      <c r="G9" s="110"/>
      <c r="H9" s="102"/>
      <c r="I9" s="111"/>
      <c r="J9" s="111"/>
      <c r="K9" s="50"/>
      <c r="L9" s="51"/>
      <c r="M9" s="50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</row>
    <row r="10" spans="1:73" ht="9" customHeight="1" x14ac:dyDescent="0.25">
      <c r="A10" s="45"/>
      <c r="B10" s="45"/>
      <c r="C10" s="53"/>
      <c r="D10" s="54"/>
      <c r="E10" s="54"/>
      <c r="F10" s="54"/>
      <c r="G10" s="55"/>
      <c r="H10" s="56"/>
      <c r="I10" s="57"/>
      <c r="J10" s="57"/>
      <c r="K10" s="50"/>
      <c r="L10" s="51"/>
      <c r="M10" s="50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</row>
    <row r="11" spans="1:73" ht="18" customHeight="1" x14ac:dyDescent="0.2">
      <c r="A11" s="45"/>
      <c r="B11" s="45"/>
      <c r="C11" s="575" t="s">
        <v>696</v>
      </c>
      <c r="D11" s="575"/>
      <c r="E11" s="575"/>
      <c r="F11" s="65"/>
      <c r="G11" s="575" t="s">
        <v>697</v>
      </c>
      <c r="H11" s="575"/>
      <c r="I11" s="575"/>
      <c r="J11" s="57"/>
      <c r="K11" s="50"/>
      <c r="L11" s="51"/>
      <c r="M11" s="50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</row>
    <row r="12" spans="1:73" ht="18" customHeight="1" x14ac:dyDescent="0.2">
      <c r="A12" s="45"/>
      <c r="B12" s="45"/>
      <c r="C12" s="45"/>
      <c r="D12" s="56"/>
      <c r="E12" s="56"/>
      <c r="F12" s="66"/>
      <c r="G12" s="45"/>
      <c r="H12" s="56"/>
      <c r="I12" s="56"/>
      <c r="J12" s="57"/>
      <c r="K12" s="50"/>
      <c r="L12" s="51"/>
      <c r="M12" s="50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8" customHeight="1" x14ac:dyDescent="0.25">
      <c r="A13" s="45"/>
      <c r="B13" s="45"/>
      <c r="C13" s="63" t="s">
        <v>38</v>
      </c>
      <c r="D13" s="54"/>
      <c r="E13" s="425" t="s">
        <v>799</v>
      </c>
      <c r="F13" s="56"/>
      <c r="G13" s="63" t="s">
        <v>38</v>
      </c>
      <c r="H13" s="54"/>
      <c r="I13" s="425" t="s">
        <v>799</v>
      </c>
      <c r="J13" s="57"/>
      <c r="K13" s="50"/>
      <c r="L13" s="51"/>
      <c r="M13" s="50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45"/>
      <c r="B14" s="45"/>
      <c r="C14" s="58" t="s">
        <v>194</v>
      </c>
      <c r="D14" s="612">
        <v>15.46</v>
      </c>
      <c r="E14" s="418">
        <v>15.46</v>
      </c>
      <c r="F14" s="54"/>
      <c r="G14" s="58" t="s">
        <v>39</v>
      </c>
      <c r="H14" s="613">
        <v>17.809999999999999</v>
      </c>
      <c r="I14" s="414">
        <v>17.809999999999999</v>
      </c>
      <c r="J14" s="57"/>
      <c r="K14" s="50"/>
      <c r="L14" s="51"/>
      <c r="M14" s="50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x14ac:dyDescent="0.25">
      <c r="A15" s="45"/>
      <c r="B15" s="45"/>
      <c r="C15" s="58"/>
      <c r="D15" s="45"/>
      <c r="E15" s="140"/>
      <c r="F15" s="65"/>
      <c r="G15" s="58" t="s">
        <v>40</v>
      </c>
      <c r="H15" s="613">
        <v>13.37</v>
      </c>
      <c r="I15" s="414">
        <v>13.37</v>
      </c>
      <c r="J15" s="57"/>
      <c r="K15" s="50"/>
      <c r="L15" s="51"/>
      <c r="M15" s="50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x14ac:dyDescent="0.2">
      <c r="A16" s="45"/>
      <c r="B16" s="45"/>
      <c r="C16" s="45"/>
      <c r="D16" s="56"/>
      <c r="E16" s="141"/>
      <c r="F16" s="45"/>
      <c r="G16" s="45"/>
      <c r="H16" s="45"/>
      <c r="I16" s="142"/>
      <c r="J16" s="57"/>
      <c r="K16" s="50"/>
      <c r="L16" s="51"/>
      <c r="M16" s="50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.75" x14ac:dyDescent="0.25">
      <c r="A17" s="45"/>
      <c r="B17" s="45"/>
      <c r="C17" s="63" t="s">
        <v>41</v>
      </c>
      <c r="D17" s="54"/>
      <c r="E17" s="425" t="s">
        <v>799</v>
      </c>
      <c r="F17" s="45"/>
      <c r="G17" s="63" t="s">
        <v>41</v>
      </c>
      <c r="H17" s="54"/>
      <c r="I17" s="425" t="s">
        <v>799</v>
      </c>
      <c r="J17" s="57"/>
      <c r="K17" s="50"/>
      <c r="L17" s="51"/>
      <c r="M17" s="50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.75" x14ac:dyDescent="0.25">
      <c r="A18" s="45"/>
      <c r="B18" s="45"/>
      <c r="C18" s="58" t="s">
        <v>42</v>
      </c>
      <c r="D18" s="615">
        <v>99.12</v>
      </c>
      <c r="E18" s="419">
        <v>99.12</v>
      </c>
      <c r="F18" s="54"/>
      <c r="G18" s="58" t="s">
        <v>43</v>
      </c>
      <c r="H18" s="614">
        <v>133.19999999999999</v>
      </c>
      <c r="I18" s="416">
        <v>133.19999999999999</v>
      </c>
      <c r="J18" s="57"/>
      <c r="K18" s="50"/>
      <c r="L18" s="51"/>
      <c r="M18" s="50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.75" x14ac:dyDescent="0.25">
      <c r="A19" s="45"/>
      <c r="B19" s="45"/>
      <c r="C19" s="58" t="s">
        <v>43</v>
      </c>
      <c r="D19" s="615">
        <v>121.2</v>
      </c>
      <c r="E19" s="419">
        <v>121.2</v>
      </c>
      <c r="F19" s="54"/>
      <c r="G19" s="58" t="s">
        <v>44</v>
      </c>
      <c r="H19" s="614">
        <v>163.44</v>
      </c>
      <c r="I19" s="416">
        <v>163.44</v>
      </c>
      <c r="J19" s="57"/>
      <c r="K19" s="50"/>
      <c r="L19" s="51"/>
      <c r="M19" s="50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.75" x14ac:dyDescent="0.25">
      <c r="A20" s="45"/>
      <c r="B20" s="45"/>
      <c r="C20" s="58" t="s">
        <v>44</v>
      </c>
      <c r="D20" s="615">
        <v>143.63999999999999</v>
      </c>
      <c r="E20" s="419">
        <v>143.63999999999999</v>
      </c>
      <c r="F20" s="54"/>
      <c r="G20" s="58" t="s">
        <v>45</v>
      </c>
      <c r="H20" s="614">
        <v>192</v>
      </c>
      <c r="I20" s="416">
        <v>192</v>
      </c>
      <c r="J20" s="57"/>
      <c r="K20" s="50"/>
      <c r="L20" s="51"/>
      <c r="M20" s="50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.75" x14ac:dyDescent="0.25">
      <c r="A21" s="45"/>
      <c r="B21" s="45"/>
      <c r="C21" s="58" t="s">
        <v>45</v>
      </c>
      <c r="D21" s="615">
        <v>166.2</v>
      </c>
      <c r="E21" s="419">
        <v>166.2</v>
      </c>
      <c r="F21" s="54"/>
      <c r="G21" s="58" t="s">
        <v>46</v>
      </c>
      <c r="H21" s="614">
        <v>218.76</v>
      </c>
      <c r="I21" s="416">
        <v>218.76</v>
      </c>
      <c r="J21" s="57"/>
      <c r="K21" s="50"/>
      <c r="L21" s="51"/>
      <c r="M21" s="50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.75" x14ac:dyDescent="0.25">
      <c r="A22" s="45"/>
      <c r="B22" s="45"/>
      <c r="C22" s="58" t="s">
        <v>46</v>
      </c>
      <c r="D22" s="615">
        <v>187.44</v>
      </c>
      <c r="E22" s="419">
        <v>187.44</v>
      </c>
      <c r="F22" s="54"/>
      <c r="G22" s="58" t="s">
        <v>47</v>
      </c>
      <c r="H22" s="614">
        <v>243.6</v>
      </c>
      <c r="I22" s="416">
        <v>243.6</v>
      </c>
      <c r="J22" s="57"/>
      <c r="K22" s="50"/>
      <c r="L22" s="51"/>
      <c r="M22" s="50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.75" x14ac:dyDescent="0.25">
      <c r="A23" s="45"/>
      <c r="B23" s="45"/>
      <c r="C23" s="58" t="s">
        <v>47</v>
      </c>
      <c r="D23" s="615">
        <v>210.72</v>
      </c>
      <c r="E23" s="419">
        <v>210.72</v>
      </c>
      <c r="F23" s="54"/>
      <c r="G23" s="58" t="s">
        <v>48</v>
      </c>
      <c r="H23" s="614">
        <v>299.64</v>
      </c>
      <c r="I23" s="416">
        <v>299.64</v>
      </c>
      <c r="J23" s="57"/>
      <c r="K23" s="50"/>
      <c r="L23" s="51"/>
      <c r="M23" s="50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.75" x14ac:dyDescent="0.25">
      <c r="A24" s="45"/>
      <c r="B24" s="45"/>
      <c r="C24" s="46"/>
      <c r="D24" s="417"/>
      <c r="E24" s="417"/>
      <c r="F24" s="54"/>
      <c r="G24" s="58" t="s">
        <v>49</v>
      </c>
      <c r="H24" s="614">
        <v>327.84</v>
      </c>
      <c r="I24" s="415">
        <v>327.84</v>
      </c>
      <c r="J24" s="57"/>
      <c r="K24" s="50"/>
      <c r="L24" s="51"/>
      <c r="M24" s="50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.75" x14ac:dyDescent="0.25">
      <c r="A25" s="45"/>
      <c r="B25" s="45"/>
      <c r="C25" s="46"/>
      <c r="D25" s="417"/>
      <c r="E25" s="417"/>
      <c r="F25" s="54"/>
      <c r="G25" s="58" t="s">
        <v>50</v>
      </c>
      <c r="H25" s="614">
        <v>372</v>
      </c>
      <c r="I25" s="415">
        <v>372</v>
      </c>
      <c r="J25" s="57"/>
      <c r="K25" s="50"/>
      <c r="L25" s="51"/>
      <c r="M25" s="50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15.75" x14ac:dyDescent="0.25">
      <c r="A26" s="45"/>
      <c r="B26" s="45"/>
      <c r="C26" s="46"/>
      <c r="D26" s="417"/>
      <c r="E26" s="417"/>
      <c r="F26" s="54"/>
      <c r="G26" s="58"/>
      <c r="H26" s="58"/>
      <c r="I26" s="59"/>
      <c r="J26" s="57"/>
      <c r="K26" s="50"/>
      <c r="L26" s="51"/>
      <c r="M26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8" customHeight="1" x14ac:dyDescent="0.3">
      <c r="A27" s="45"/>
      <c r="B27" s="101"/>
      <c r="C27" s="100" t="s">
        <v>338</v>
      </c>
      <c r="D27" s="109"/>
      <c r="E27" s="109"/>
      <c r="F27" s="109"/>
      <c r="G27" s="110"/>
      <c r="H27" s="102"/>
      <c r="I27" s="111"/>
      <c r="J27" s="111"/>
      <c r="K27" s="50"/>
      <c r="L27" s="51"/>
      <c r="M27" s="50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3" customHeight="1" x14ac:dyDescent="0.25">
      <c r="A28" s="45"/>
      <c r="B28" s="101"/>
      <c r="C28" s="108"/>
      <c r="D28" s="109"/>
      <c r="E28" s="109"/>
      <c r="F28" s="109"/>
      <c r="G28" s="110"/>
      <c r="H28" s="102"/>
      <c r="I28" s="111"/>
      <c r="J28" s="111"/>
      <c r="K28" s="50"/>
      <c r="L28" s="51"/>
      <c r="M28" s="50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9" customHeight="1" x14ac:dyDescent="0.25">
      <c r="A29" s="45"/>
      <c r="B29" s="45"/>
      <c r="C29" s="53"/>
      <c r="D29" s="54"/>
      <c r="E29" s="54"/>
      <c r="F29" s="54"/>
      <c r="G29" s="55"/>
      <c r="H29" s="56"/>
      <c r="I29" s="57"/>
      <c r="J29" s="57"/>
      <c r="K29" s="50"/>
      <c r="L29" s="51"/>
      <c r="M29" s="50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15.75" x14ac:dyDescent="0.25">
      <c r="A30" s="45"/>
      <c r="B30" s="45"/>
      <c r="C30" s="46"/>
      <c r="D30" s="54"/>
      <c r="E30" s="54"/>
      <c r="F30" s="54"/>
      <c r="G30" s="58"/>
      <c r="H30" s="56"/>
      <c r="I30" s="59"/>
      <c r="J30" s="57"/>
      <c r="K30" s="50"/>
      <c r="L30" s="51"/>
      <c r="M30" s="50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45"/>
      <c r="B31" s="45"/>
      <c r="C31" s="63" t="s">
        <v>51</v>
      </c>
      <c r="D31" s="54"/>
      <c r="E31" s="425" t="s">
        <v>796</v>
      </c>
      <c r="F31" s="54"/>
      <c r="G31" s="63" t="s">
        <v>41</v>
      </c>
      <c r="H31" s="56"/>
      <c r="I31" s="425" t="s">
        <v>796</v>
      </c>
      <c r="J31" s="57"/>
      <c r="K31" s="50"/>
      <c r="L31" s="51"/>
      <c r="M31" s="50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15.75" x14ac:dyDescent="0.25">
      <c r="A32" s="45"/>
      <c r="B32" s="45"/>
      <c r="C32" s="58" t="s">
        <v>52</v>
      </c>
      <c r="D32" s="613">
        <v>5</v>
      </c>
      <c r="E32" s="420">
        <v>5</v>
      </c>
      <c r="F32" s="54"/>
      <c r="G32" s="58" t="s">
        <v>52</v>
      </c>
      <c r="H32" s="613">
        <v>249.36</v>
      </c>
      <c r="I32" s="421">
        <v>249.36</v>
      </c>
      <c r="J32" s="57"/>
      <c r="K32" s="50"/>
      <c r="L32" s="51"/>
      <c r="M32" s="50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45"/>
      <c r="B33" s="45"/>
      <c r="C33" s="58" t="s">
        <v>53</v>
      </c>
      <c r="D33" s="613">
        <v>5</v>
      </c>
      <c r="E33" s="420">
        <v>5</v>
      </c>
      <c r="F33" s="54"/>
      <c r="G33" s="58" t="s">
        <v>53</v>
      </c>
      <c r="H33" s="613">
        <v>249.36</v>
      </c>
      <c r="I33" s="421">
        <v>249.36</v>
      </c>
      <c r="J33" s="57"/>
      <c r="K33" s="50"/>
      <c r="L33" s="51"/>
      <c r="M33" s="50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.75" x14ac:dyDescent="0.25">
      <c r="A34" s="45"/>
      <c r="B34" s="45"/>
      <c r="C34" s="46"/>
      <c r="D34" s="54"/>
      <c r="E34" s="54"/>
      <c r="F34" s="54"/>
      <c r="G34" s="58"/>
      <c r="H34" s="56"/>
      <c r="I34" s="59"/>
      <c r="J34" s="57"/>
      <c r="K34" s="50"/>
      <c r="L34" s="51"/>
      <c r="M34" s="50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8" customHeight="1" x14ac:dyDescent="0.3">
      <c r="A35" s="45"/>
      <c r="B35" s="101"/>
      <c r="C35" s="100" t="s">
        <v>337</v>
      </c>
      <c r="D35" s="109"/>
      <c r="E35" s="109"/>
      <c r="F35" s="109"/>
      <c r="G35" s="110"/>
      <c r="H35" s="102"/>
      <c r="I35" s="111"/>
      <c r="J35" s="111"/>
      <c r="K35" s="50"/>
      <c r="L35" s="51"/>
      <c r="M35" s="50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3" customHeight="1" x14ac:dyDescent="0.25">
      <c r="A36" s="45"/>
      <c r="B36" s="101"/>
      <c r="C36" s="108"/>
      <c r="D36" s="109"/>
      <c r="E36" s="109"/>
      <c r="F36" s="109"/>
      <c r="G36" s="110"/>
      <c r="H36" s="102"/>
      <c r="I36" s="111"/>
      <c r="J36" s="111"/>
      <c r="K36" s="50"/>
      <c r="L36" s="51"/>
      <c r="M36" s="50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9" customHeight="1" x14ac:dyDescent="0.25">
      <c r="A37" s="45"/>
      <c r="B37" s="45"/>
      <c r="C37" s="53"/>
      <c r="D37" s="54"/>
      <c r="E37" s="54"/>
      <c r="F37" s="54"/>
      <c r="G37" s="55"/>
      <c r="H37" s="56"/>
      <c r="I37" s="57"/>
      <c r="J37" s="57"/>
      <c r="K37" s="50"/>
      <c r="L37" s="51"/>
      <c r="M37" s="50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15.75" x14ac:dyDescent="0.25">
      <c r="A38" s="45"/>
      <c r="B38" s="45"/>
      <c r="C38" s="46"/>
      <c r="D38" s="54"/>
      <c r="E38" s="54"/>
      <c r="F38" s="54"/>
      <c r="G38" s="58"/>
      <c r="H38" s="56"/>
      <c r="I38" s="59"/>
      <c r="J38" s="57"/>
      <c r="K38" s="50"/>
      <c r="L38" s="51"/>
      <c r="M38" s="50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.75" x14ac:dyDescent="0.25">
      <c r="A39" s="45"/>
      <c r="B39" s="45"/>
      <c r="C39" s="574" t="s">
        <v>54</v>
      </c>
      <c r="D39" s="574"/>
      <c r="E39" s="424" t="s">
        <v>797</v>
      </c>
      <c r="F39" s="54"/>
      <c r="G39" s="58"/>
      <c r="H39" s="56"/>
      <c r="I39" s="59"/>
      <c r="J39" s="57"/>
      <c r="K39" s="50"/>
      <c r="L39" s="51"/>
      <c r="M39" s="50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.75" x14ac:dyDescent="0.25">
      <c r="A40" s="45"/>
      <c r="B40" s="45"/>
      <c r="C40" s="58" t="s">
        <v>337</v>
      </c>
      <c r="D40" s="612">
        <v>9.66</v>
      </c>
      <c r="E40" s="422">
        <v>9.66</v>
      </c>
      <c r="F40" s="54"/>
      <c r="G40" s="58"/>
      <c r="H40" s="56"/>
      <c r="I40" s="59"/>
      <c r="J40" s="57"/>
      <c r="K40" s="50"/>
      <c r="L40" s="51"/>
      <c r="M40" s="50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.75" x14ac:dyDescent="0.25">
      <c r="A41" s="45"/>
      <c r="B41" s="45"/>
      <c r="C41" s="46"/>
      <c r="D41" s="54"/>
      <c r="E41" s="54"/>
      <c r="F41" s="54"/>
      <c r="G41" s="58"/>
      <c r="H41" s="56"/>
      <c r="I41" s="59"/>
      <c r="J41" s="57"/>
      <c r="K41" s="50"/>
      <c r="L41" s="51"/>
      <c r="M41" s="50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15.75" x14ac:dyDescent="0.25">
      <c r="A42" s="45"/>
      <c r="B42" s="45"/>
      <c r="C42" s="46"/>
      <c r="D42" s="54"/>
      <c r="E42" s="54"/>
      <c r="F42" s="54"/>
      <c r="G42" s="58"/>
      <c r="H42" s="56"/>
      <c r="I42" s="59"/>
      <c r="J42" s="57"/>
      <c r="K42" s="50"/>
      <c r="L42" s="51"/>
      <c r="M42" s="50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18" customHeight="1" x14ac:dyDescent="0.3">
      <c r="A43" s="45"/>
      <c r="B43" s="101"/>
      <c r="C43" s="100" t="s">
        <v>339</v>
      </c>
      <c r="D43" s="109"/>
      <c r="E43" s="109"/>
      <c r="F43" s="109"/>
      <c r="G43" s="110"/>
      <c r="H43" s="102"/>
      <c r="I43" s="111"/>
      <c r="J43" s="111"/>
      <c r="K43" s="50"/>
      <c r="L43" s="51"/>
      <c r="M43" s="50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3" customHeight="1" x14ac:dyDescent="0.25">
      <c r="A44" s="45"/>
      <c r="B44" s="101"/>
      <c r="C44" s="108"/>
      <c r="D44" s="109"/>
      <c r="E44" s="109"/>
      <c r="F44" s="109"/>
      <c r="G44" s="110"/>
      <c r="H44" s="102"/>
      <c r="I44" s="111"/>
      <c r="J44" s="111"/>
      <c r="K44" s="50"/>
      <c r="L44" s="51"/>
      <c r="M44" s="50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9" customHeight="1" x14ac:dyDescent="0.25">
      <c r="A45" s="45"/>
      <c r="B45" s="45"/>
      <c r="C45" s="53"/>
      <c r="D45" s="54"/>
      <c r="E45" s="54"/>
      <c r="F45" s="54"/>
      <c r="G45" s="55"/>
      <c r="H45" s="56"/>
      <c r="I45" s="57"/>
      <c r="J45" s="57"/>
      <c r="K45" s="50"/>
      <c r="L45" s="51"/>
      <c r="M45" s="50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x14ac:dyDescent="0.25">
      <c r="A46" s="45"/>
      <c r="B46" s="45"/>
      <c r="C46" s="46"/>
      <c r="D46" s="54"/>
      <c r="E46" s="54"/>
      <c r="F46" s="54"/>
      <c r="G46" s="58"/>
      <c r="H46" s="56"/>
      <c r="I46" s="59"/>
      <c r="J46" s="57"/>
      <c r="K46" s="50"/>
      <c r="L46" s="51"/>
      <c r="M46" s="50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.75" x14ac:dyDescent="0.25">
      <c r="A47" s="45"/>
      <c r="B47" s="45"/>
      <c r="C47" s="63" t="s">
        <v>55</v>
      </c>
      <c r="D47" s="56"/>
      <c r="E47" s="425" t="s">
        <v>798</v>
      </c>
      <c r="F47" s="54"/>
      <c r="G47" s="58"/>
      <c r="H47" s="56"/>
      <c r="I47" s="59"/>
      <c r="J47" s="57"/>
      <c r="K47" s="50"/>
      <c r="L47" s="51"/>
      <c r="M47" s="50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45"/>
      <c r="B48" s="45"/>
      <c r="C48" s="58" t="s">
        <v>339</v>
      </c>
      <c r="D48" s="612">
        <v>14.61</v>
      </c>
      <c r="E48" s="423">
        <v>14.61</v>
      </c>
      <c r="F48" s="54"/>
      <c r="G48" s="58"/>
      <c r="H48" s="56"/>
      <c r="I48" s="59"/>
      <c r="J48" s="57"/>
      <c r="K48" s="50"/>
      <c r="L48" s="51"/>
      <c r="M48" s="50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.75" x14ac:dyDescent="0.25">
      <c r="A49" s="45"/>
      <c r="B49" s="45"/>
      <c r="C49" s="46"/>
      <c r="D49" s="54"/>
      <c r="E49" s="54"/>
      <c r="F49" s="54"/>
      <c r="G49" s="58"/>
      <c r="H49" s="56"/>
      <c r="I49" s="59"/>
      <c r="J49" s="57"/>
      <c r="K49" s="50"/>
      <c r="L49" s="51"/>
      <c r="M49" s="50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.75" x14ac:dyDescent="0.25">
      <c r="A50" s="45"/>
      <c r="B50" s="45"/>
      <c r="C50" s="46"/>
      <c r="D50" s="54"/>
      <c r="E50" s="54"/>
      <c r="F50" s="54"/>
      <c r="G50" s="58"/>
      <c r="H50" s="56"/>
      <c r="I50" s="59"/>
      <c r="J50" s="57"/>
      <c r="K50" s="50"/>
      <c r="L50" s="51"/>
      <c r="M50" s="50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8" customHeight="1" x14ac:dyDescent="0.3">
      <c r="A51" s="45"/>
      <c r="B51" s="101"/>
      <c r="C51" s="100" t="s">
        <v>56</v>
      </c>
      <c r="D51" s="109"/>
      <c r="E51" s="109"/>
      <c r="F51" s="109"/>
      <c r="G51" s="110"/>
      <c r="H51" s="102"/>
      <c r="I51" s="111"/>
      <c r="J51" s="111"/>
      <c r="K51" s="50"/>
      <c r="L51" s="51"/>
      <c r="M51" s="50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3" customHeight="1" x14ac:dyDescent="0.25">
      <c r="A52" s="45"/>
      <c r="B52" s="101"/>
      <c r="C52" s="108"/>
      <c r="D52" s="109"/>
      <c r="E52" s="109"/>
      <c r="F52" s="109"/>
      <c r="G52" s="110"/>
      <c r="H52" s="102"/>
      <c r="I52" s="111"/>
      <c r="J52" s="111"/>
      <c r="K52" s="50"/>
      <c r="L52" s="51"/>
      <c r="M52" s="50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9" customHeight="1" x14ac:dyDescent="0.25">
      <c r="A53" s="45"/>
      <c r="B53" s="45"/>
      <c r="C53" s="53"/>
      <c r="D53" s="54"/>
      <c r="E53" s="54"/>
      <c r="F53" s="54"/>
      <c r="G53" s="55"/>
      <c r="H53" s="56"/>
      <c r="I53" s="57"/>
      <c r="J53" s="57"/>
      <c r="K53" s="50"/>
      <c r="L53" s="51"/>
      <c r="M53" s="50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45"/>
      <c r="B54" s="45"/>
      <c r="C54" s="46"/>
      <c r="D54" s="54"/>
      <c r="E54" s="54"/>
      <c r="F54" s="54"/>
      <c r="G54" s="58"/>
      <c r="H54" s="56"/>
      <c r="I54" s="59"/>
      <c r="J54" s="57"/>
      <c r="K54" s="50"/>
      <c r="L54" s="51"/>
      <c r="M54" s="50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.75" x14ac:dyDescent="0.25">
      <c r="A55" s="45"/>
      <c r="B55" s="45"/>
      <c r="C55" s="574" t="s">
        <v>57</v>
      </c>
      <c r="D55" s="574"/>
      <c r="E55" s="60"/>
      <c r="F55" s="54"/>
      <c r="G55" s="574" t="s">
        <v>58</v>
      </c>
      <c r="H55" s="574"/>
      <c r="I55" s="60"/>
      <c r="J55" s="57"/>
      <c r="K55" s="50"/>
      <c r="L55" s="51"/>
      <c r="M55" s="50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45"/>
      <c r="B56" s="45"/>
      <c r="C56" s="58" t="s">
        <v>56</v>
      </c>
      <c r="D56" s="613">
        <v>70</v>
      </c>
      <c r="E56" s="61"/>
      <c r="F56" s="54"/>
      <c r="G56" s="58" t="s">
        <v>59</v>
      </c>
      <c r="H56" s="613">
        <v>278</v>
      </c>
      <c r="I56" s="61"/>
      <c r="J56" s="57"/>
      <c r="K56" s="50"/>
      <c r="L56" s="51"/>
      <c r="M56" s="50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45"/>
      <c r="B57" s="45"/>
      <c r="C57" s="46"/>
      <c r="D57" s="54"/>
      <c r="E57" s="54"/>
      <c r="F57" s="54"/>
      <c r="G57" s="58"/>
      <c r="H57" s="56"/>
      <c r="I57" s="59"/>
      <c r="J57" s="57"/>
      <c r="K57" s="50"/>
      <c r="L57" s="51"/>
      <c r="M57" s="50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.75" x14ac:dyDescent="0.25">
      <c r="A58" s="45"/>
      <c r="B58" s="45"/>
      <c r="C58" s="46"/>
      <c r="D58" s="54"/>
      <c r="E58" s="54"/>
      <c r="F58" s="54"/>
      <c r="G58" s="58"/>
      <c r="H58" s="56"/>
      <c r="I58" s="59"/>
      <c r="J58" s="57"/>
      <c r="K58" s="50"/>
      <c r="L58" s="51"/>
      <c r="M58" s="50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x14ac:dyDescent="0.25">
      <c r="A59" s="45"/>
      <c r="B59" s="45"/>
      <c r="C59" s="46"/>
      <c r="D59" s="54"/>
      <c r="E59" s="54"/>
      <c r="F59" s="54"/>
      <c r="G59" s="58"/>
      <c r="H59" s="56"/>
      <c r="I59" s="59"/>
      <c r="J59" s="57"/>
      <c r="K59" s="50"/>
      <c r="L59" s="51"/>
      <c r="M59" s="50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x14ac:dyDescent="0.25">
      <c r="A60" s="45"/>
      <c r="B60" s="45"/>
      <c r="C60" s="46"/>
      <c r="D60" s="54"/>
      <c r="E60" s="54"/>
      <c r="F60" s="54"/>
      <c r="G60" s="58"/>
      <c r="H60" s="56"/>
      <c r="I60" s="59"/>
      <c r="J60" s="57"/>
      <c r="K60" s="50"/>
      <c r="L60" s="51"/>
      <c r="M60" s="50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15.75" x14ac:dyDescent="0.25">
      <c r="A61" s="45"/>
      <c r="B61" s="45"/>
      <c r="C61" s="46"/>
      <c r="D61" s="54"/>
      <c r="E61" s="54"/>
      <c r="F61" s="54"/>
      <c r="G61" s="58"/>
      <c r="H61" s="56"/>
      <c r="I61" s="59"/>
      <c r="J61" s="57"/>
      <c r="K61" s="50"/>
      <c r="L61" s="51"/>
      <c r="M61" s="50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14.25" customHeight="1" x14ac:dyDescent="0.2">
      <c r="A62" s="45"/>
      <c r="B62" s="45"/>
      <c r="C62" s="62" t="s">
        <v>60</v>
      </c>
      <c r="D62" s="112" t="s">
        <v>506</v>
      </c>
      <c r="E62" s="72"/>
      <c r="F62" s="72"/>
      <c r="G62" s="72"/>
      <c r="H62" s="56"/>
      <c r="I62" s="57"/>
      <c r="J62" s="57"/>
      <c r="K62" s="50"/>
      <c r="L62" s="51"/>
      <c r="M62" s="50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18" customHeight="1" x14ac:dyDescent="0.25">
      <c r="A63" s="45"/>
      <c r="B63" s="45"/>
      <c r="C63" s="53"/>
      <c r="D63" s="54"/>
      <c r="E63" s="54"/>
      <c r="F63" s="54"/>
      <c r="G63" s="55"/>
      <c r="H63" s="56"/>
      <c r="I63" s="57"/>
      <c r="J63" s="57"/>
      <c r="K63" s="50"/>
      <c r="L63" s="51"/>
      <c r="M63" s="50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x14ac:dyDescent="0.2">
      <c r="A64" s="45"/>
      <c r="B64" s="45"/>
      <c r="C64" s="45"/>
      <c r="D64" s="56"/>
      <c r="E64" s="56"/>
      <c r="F64" s="56"/>
      <c r="G64" s="45"/>
      <c r="H64" s="56"/>
      <c r="I64" s="56"/>
      <c r="J64" s="56"/>
      <c r="K64" s="52"/>
      <c r="L64" s="52"/>
      <c r="M64" s="52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</row>
    <row r="65" s="45" customFormat="1" x14ac:dyDescent="0.2"/>
    <row r="66" s="45" customFormat="1" x14ac:dyDescent="0.2"/>
    <row r="67" s="45" customFormat="1" x14ac:dyDescent="0.2"/>
    <row r="68" s="45" customFormat="1" x14ac:dyDescent="0.2"/>
    <row r="69" s="45" customFormat="1" x14ac:dyDescent="0.2"/>
    <row r="70" s="45" customFormat="1" x14ac:dyDescent="0.2"/>
    <row r="71" s="45" customFormat="1" x14ac:dyDescent="0.2"/>
    <row r="72" s="45" customFormat="1" x14ac:dyDescent="0.2"/>
    <row r="73" s="45" customFormat="1" x14ac:dyDescent="0.2"/>
    <row r="74" s="45" customFormat="1" x14ac:dyDescent="0.2"/>
    <row r="75" s="45" customFormat="1" x14ac:dyDescent="0.2"/>
    <row r="76" s="45" customFormat="1" x14ac:dyDescent="0.2"/>
    <row r="77" s="45" customFormat="1" x14ac:dyDescent="0.2"/>
    <row r="78" s="45" customFormat="1" x14ac:dyDescent="0.2"/>
    <row r="79" s="45" customFormat="1" x14ac:dyDescent="0.2"/>
    <row r="80" s="45" customFormat="1" x14ac:dyDescent="0.2"/>
    <row r="81" s="45" customFormat="1" x14ac:dyDescent="0.2"/>
    <row r="82" s="45" customFormat="1" x14ac:dyDescent="0.2"/>
    <row r="83" s="45" customFormat="1" x14ac:dyDescent="0.2"/>
    <row r="84" s="45" customFormat="1" x14ac:dyDescent="0.2"/>
    <row r="85" s="45" customFormat="1" x14ac:dyDescent="0.2"/>
    <row r="86" s="45" customFormat="1" x14ac:dyDescent="0.2"/>
    <row r="87" s="45" customFormat="1" x14ac:dyDescent="0.2"/>
    <row r="88" s="45" customFormat="1" x14ac:dyDescent="0.2"/>
    <row r="89" s="45" customFormat="1" x14ac:dyDescent="0.2"/>
    <row r="90" s="45" customFormat="1" x14ac:dyDescent="0.2"/>
    <row r="91" s="45" customFormat="1" x14ac:dyDescent="0.2"/>
    <row r="92" s="45" customFormat="1" x14ac:dyDescent="0.2"/>
    <row r="93" s="45" customFormat="1" x14ac:dyDescent="0.2"/>
    <row r="94" s="45" customFormat="1" x14ac:dyDescent="0.2"/>
    <row r="95" s="45" customFormat="1" x14ac:dyDescent="0.2"/>
    <row r="96" s="45" customFormat="1" x14ac:dyDescent="0.2"/>
    <row r="97" s="45" customFormat="1" x14ac:dyDescent="0.2"/>
    <row r="98" s="45" customFormat="1" x14ac:dyDescent="0.2"/>
    <row r="99" s="45" customFormat="1" x14ac:dyDescent="0.2"/>
    <row r="100" s="45" customFormat="1" x14ac:dyDescent="0.2"/>
    <row r="101" s="45" customFormat="1" x14ac:dyDescent="0.2"/>
    <row r="102" s="45" customFormat="1" x14ac:dyDescent="0.2"/>
    <row r="103" s="45" customFormat="1" x14ac:dyDescent="0.2"/>
    <row r="104" s="45" customFormat="1" x14ac:dyDescent="0.2"/>
    <row r="105" s="45" customFormat="1" x14ac:dyDescent="0.2"/>
    <row r="106" s="45" customFormat="1" x14ac:dyDescent="0.2"/>
    <row r="107" s="45" customFormat="1" x14ac:dyDescent="0.2"/>
    <row r="108" s="45" customFormat="1" x14ac:dyDescent="0.2"/>
    <row r="109" s="45" customFormat="1" x14ac:dyDescent="0.2"/>
    <row r="110" s="45" customFormat="1" x14ac:dyDescent="0.2"/>
    <row r="111" s="45" customFormat="1" x14ac:dyDescent="0.2"/>
    <row r="112" s="45" customFormat="1" x14ac:dyDescent="0.2"/>
    <row r="113" s="45" customFormat="1" x14ac:dyDescent="0.2"/>
    <row r="114" s="45" customFormat="1" x14ac:dyDescent="0.2"/>
    <row r="115" s="45" customFormat="1" x14ac:dyDescent="0.2"/>
    <row r="116" s="45" customFormat="1" x14ac:dyDescent="0.2"/>
    <row r="117" s="45" customFormat="1" x14ac:dyDescent="0.2"/>
    <row r="118" s="45" customFormat="1" x14ac:dyDescent="0.2"/>
    <row r="119" s="45" customFormat="1" x14ac:dyDescent="0.2"/>
    <row r="120" s="45" customFormat="1" x14ac:dyDescent="0.2"/>
    <row r="121" s="45" customFormat="1" x14ac:dyDescent="0.2"/>
    <row r="122" s="45" customFormat="1" x14ac:dyDescent="0.2"/>
    <row r="123" s="45" customFormat="1" x14ac:dyDescent="0.2"/>
    <row r="124" s="45" customFormat="1" x14ac:dyDescent="0.2"/>
    <row r="125" s="45" customFormat="1" x14ac:dyDescent="0.2"/>
    <row r="126" s="45" customFormat="1" x14ac:dyDescent="0.2"/>
    <row r="127" s="45" customFormat="1" x14ac:dyDescent="0.2"/>
    <row r="128" s="45" customFormat="1" x14ac:dyDescent="0.2"/>
    <row r="129" s="45" customFormat="1" x14ac:dyDescent="0.2"/>
    <row r="130" s="45" customFormat="1" x14ac:dyDescent="0.2"/>
    <row r="131" s="45" customFormat="1" x14ac:dyDescent="0.2"/>
    <row r="132" s="45" customFormat="1" x14ac:dyDescent="0.2"/>
    <row r="133" s="45" customFormat="1" x14ac:dyDescent="0.2"/>
    <row r="134" s="45" customFormat="1" x14ac:dyDescent="0.2"/>
    <row r="135" s="45" customFormat="1" x14ac:dyDescent="0.2"/>
    <row r="136" s="45" customFormat="1" x14ac:dyDescent="0.2"/>
    <row r="137" s="45" customFormat="1" x14ac:dyDescent="0.2"/>
    <row r="138" s="45" customFormat="1" x14ac:dyDescent="0.2"/>
    <row r="139" s="45" customFormat="1" x14ac:dyDescent="0.2"/>
    <row r="140" s="45" customFormat="1" x14ac:dyDescent="0.2"/>
    <row r="141" s="45" customFormat="1" x14ac:dyDescent="0.2"/>
    <row r="142" s="45" customFormat="1" x14ac:dyDescent="0.2"/>
    <row r="143" s="45" customFormat="1" x14ac:dyDescent="0.2"/>
    <row r="144" s="45" customFormat="1" x14ac:dyDescent="0.2"/>
    <row r="145" s="45" customFormat="1" x14ac:dyDescent="0.2"/>
    <row r="146" s="45" customFormat="1" x14ac:dyDescent="0.2"/>
    <row r="147" s="45" customFormat="1" x14ac:dyDescent="0.2"/>
    <row r="148" s="45" customFormat="1" x14ac:dyDescent="0.2"/>
    <row r="149" s="45" customFormat="1" x14ac:dyDescent="0.2"/>
    <row r="150" s="45" customFormat="1" x14ac:dyDescent="0.2"/>
    <row r="151" s="45" customFormat="1" x14ac:dyDescent="0.2"/>
    <row r="152" s="45" customFormat="1" x14ac:dyDescent="0.2"/>
    <row r="153" s="45" customFormat="1" x14ac:dyDescent="0.2"/>
    <row r="154" s="45" customFormat="1" x14ac:dyDescent="0.2"/>
    <row r="155" s="45" customFormat="1" x14ac:dyDescent="0.2"/>
    <row r="156" s="45" customFormat="1" x14ac:dyDescent="0.2"/>
    <row r="157" s="45" customFormat="1" x14ac:dyDescent="0.2"/>
    <row r="158" s="45" customFormat="1" x14ac:dyDescent="0.2"/>
    <row r="159" s="45" customFormat="1" x14ac:dyDescent="0.2"/>
    <row r="160" s="45" customFormat="1" x14ac:dyDescent="0.2"/>
    <row r="161" s="45" customFormat="1" x14ac:dyDescent="0.2"/>
    <row r="162" s="45" customFormat="1" x14ac:dyDescent="0.2"/>
    <row r="163" s="45" customFormat="1" x14ac:dyDescent="0.2"/>
    <row r="164" s="45" customFormat="1" x14ac:dyDescent="0.2"/>
    <row r="165" s="45" customFormat="1" x14ac:dyDescent="0.2"/>
    <row r="166" s="45" customFormat="1" x14ac:dyDescent="0.2"/>
    <row r="167" s="45" customFormat="1" x14ac:dyDescent="0.2"/>
    <row r="168" s="45" customFormat="1" x14ac:dyDescent="0.2"/>
    <row r="169" s="45" customFormat="1" x14ac:dyDescent="0.2"/>
    <row r="170" s="45" customFormat="1" x14ac:dyDescent="0.2"/>
    <row r="171" s="45" customFormat="1" x14ac:dyDescent="0.2"/>
    <row r="172" s="45" customFormat="1" x14ac:dyDescent="0.2"/>
    <row r="173" s="45" customFormat="1" x14ac:dyDescent="0.2"/>
    <row r="174" s="45" customFormat="1" x14ac:dyDescent="0.2"/>
    <row r="175" s="45" customFormat="1" x14ac:dyDescent="0.2"/>
    <row r="176" s="45" customFormat="1" x14ac:dyDescent="0.2"/>
    <row r="177" s="45" customFormat="1" x14ac:dyDescent="0.2"/>
    <row r="178" s="45" customFormat="1" x14ac:dyDescent="0.2"/>
    <row r="179" s="45" customFormat="1" x14ac:dyDescent="0.2"/>
    <row r="180" s="45" customFormat="1" x14ac:dyDescent="0.2"/>
    <row r="181" s="45" customFormat="1" x14ac:dyDescent="0.2"/>
    <row r="182" s="45" customFormat="1" x14ac:dyDescent="0.2"/>
    <row r="183" s="45" customFormat="1" x14ac:dyDescent="0.2"/>
    <row r="184" s="45" customFormat="1" x14ac:dyDescent="0.2"/>
    <row r="185" s="45" customFormat="1" x14ac:dyDescent="0.2"/>
    <row r="186" s="45" customFormat="1" x14ac:dyDescent="0.2"/>
    <row r="187" s="45" customFormat="1" x14ac:dyDescent="0.2"/>
    <row r="188" s="45" customFormat="1" x14ac:dyDescent="0.2"/>
    <row r="189" s="45" customFormat="1" x14ac:dyDescent="0.2"/>
    <row r="190" s="45" customFormat="1" x14ac:dyDescent="0.2"/>
    <row r="191" s="45" customFormat="1" x14ac:dyDescent="0.2"/>
    <row r="192" s="45" customFormat="1" x14ac:dyDescent="0.2"/>
    <row r="193" s="45" customFormat="1" x14ac:dyDescent="0.2"/>
    <row r="194" s="45" customFormat="1" x14ac:dyDescent="0.2"/>
    <row r="195" s="45" customFormat="1" x14ac:dyDescent="0.2"/>
    <row r="196" s="45" customFormat="1" x14ac:dyDescent="0.2"/>
    <row r="197" s="45" customFormat="1" x14ac:dyDescent="0.2"/>
    <row r="198" s="45" customFormat="1" x14ac:dyDescent="0.2"/>
    <row r="199" s="45" customFormat="1" x14ac:dyDescent="0.2"/>
    <row r="200" s="45" customFormat="1" x14ac:dyDescent="0.2"/>
    <row r="201" s="45" customFormat="1" x14ac:dyDescent="0.2"/>
    <row r="202" s="45" customFormat="1" x14ac:dyDescent="0.2"/>
    <row r="203" s="45" customFormat="1" x14ac:dyDescent="0.2"/>
    <row r="204" s="45" customFormat="1" x14ac:dyDescent="0.2"/>
    <row r="205" s="45" customFormat="1" x14ac:dyDescent="0.2"/>
    <row r="206" s="45" customFormat="1" x14ac:dyDescent="0.2"/>
    <row r="207" s="45" customFormat="1" x14ac:dyDescent="0.2"/>
    <row r="208" s="45" customFormat="1" x14ac:dyDescent="0.2"/>
    <row r="209" s="45" customFormat="1" x14ac:dyDescent="0.2"/>
    <row r="210" s="45" customFormat="1" x14ac:dyDescent="0.2"/>
    <row r="211" s="45" customFormat="1" x14ac:dyDescent="0.2"/>
    <row r="212" s="45" customFormat="1" x14ac:dyDescent="0.2"/>
    <row r="213" s="45" customFormat="1" x14ac:dyDescent="0.2"/>
    <row r="214" s="45" customFormat="1" x14ac:dyDescent="0.2"/>
    <row r="215" s="45" customFormat="1" x14ac:dyDescent="0.2"/>
    <row r="216" s="45" customFormat="1" x14ac:dyDescent="0.2"/>
    <row r="217" s="45" customFormat="1" x14ac:dyDescent="0.2"/>
    <row r="218" s="45" customFormat="1" x14ac:dyDescent="0.2"/>
    <row r="219" s="45" customFormat="1" x14ac:dyDescent="0.2"/>
    <row r="220" s="45" customFormat="1" x14ac:dyDescent="0.2"/>
    <row r="221" s="45" customFormat="1" x14ac:dyDescent="0.2"/>
    <row r="222" s="45" customFormat="1" x14ac:dyDescent="0.2"/>
    <row r="223" s="45" customFormat="1" x14ac:dyDescent="0.2"/>
    <row r="224" s="45" customFormat="1" x14ac:dyDescent="0.2"/>
    <row r="225" s="45" customFormat="1" x14ac:dyDescent="0.2"/>
    <row r="226" s="45" customFormat="1" x14ac:dyDescent="0.2"/>
    <row r="227" s="45" customFormat="1" x14ac:dyDescent="0.2"/>
    <row r="228" s="45" customFormat="1" x14ac:dyDescent="0.2"/>
    <row r="229" s="45" customFormat="1" x14ac:dyDescent="0.2"/>
    <row r="230" s="45" customFormat="1" x14ac:dyDescent="0.2"/>
    <row r="231" s="45" customFormat="1" x14ac:dyDescent="0.2"/>
    <row r="232" s="45" customFormat="1" x14ac:dyDescent="0.2"/>
    <row r="233" s="45" customFormat="1" x14ac:dyDescent="0.2"/>
  </sheetData>
  <sheetProtection algorithmName="SHA-512" hashValue="5lR1VcUkzzd1ZiEGWCbxibVzB1mlQZIgxDDC4S9lmbUK+WPRjSg8aIj6ARTkqOtKOC03JvRNBtcmfzgESVFC5w==" saltValue="ZZPXDKg11VG87ZbIVWthNQ==" spinCount="100000" sheet="1" objects="1" scenarios="1"/>
  <protectedRanges>
    <protectedRange sqref="D14 D18:D23 H18:H25 H14:H15 H32:H33 D32:D33 D40 D48 D56 H56" name="Plage1"/>
  </protectedRanges>
  <mergeCells count="6">
    <mergeCell ref="D2:J2"/>
    <mergeCell ref="C39:D39"/>
    <mergeCell ref="C55:D55"/>
    <mergeCell ref="G55:H55"/>
    <mergeCell ref="C11:E11"/>
    <mergeCell ref="G11:I11"/>
  </mergeCells>
  <phoneticPr fontId="3" type="noConversion"/>
  <hyperlinks>
    <hyperlink ref="D62" r:id="rId1" xr:uid="{00000000-0004-0000-0100-000000000000}"/>
  </hyperlinks>
  <pageMargins left="0.78740157499999996" right="0.78740157499999996" top="0.54" bottom="0.984251969" header="0.4921259845" footer="0.4921259845"/>
  <pageSetup paperSize="9" scale="52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BO103"/>
  <sheetViews>
    <sheetView workbookViewId="0">
      <pane xSplit="1" ySplit="7" topLeftCell="D17" activePane="bottomRight" state="frozen"/>
      <selection pane="topRight" activeCell="B1" sqref="B1"/>
      <selection pane="bottomLeft" activeCell="A8" sqref="A8"/>
      <selection pane="bottomRight" activeCell="I55" sqref="I55"/>
    </sheetView>
  </sheetViews>
  <sheetFormatPr baseColWidth="10" defaultRowHeight="12.75" x14ac:dyDescent="0.2"/>
  <cols>
    <col min="1" max="1" width="36.42578125" customWidth="1"/>
    <col min="65" max="65" width="13.5703125" customWidth="1"/>
  </cols>
  <sheetData>
    <row r="1" spans="1:63" x14ac:dyDescent="0.2">
      <c r="A1" s="143"/>
    </row>
    <row r="5" spans="1:63" s="190" customFormat="1" x14ac:dyDescent="0.2">
      <c r="A5" s="186" t="s">
        <v>353</v>
      </c>
      <c r="B5" s="161">
        <v>-25</v>
      </c>
      <c r="C5" s="161">
        <v>-24</v>
      </c>
      <c r="D5" s="161">
        <v>-23</v>
      </c>
      <c r="E5" s="161">
        <v>-22</v>
      </c>
      <c r="F5" s="161">
        <v>-21</v>
      </c>
      <c r="G5" s="161">
        <v>-20</v>
      </c>
      <c r="H5" s="161">
        <v>-19</v>
      </c>
      <c r="I5" s="161">
        <v>-18</v>
      </c>
      <c r="J5" s="161">
        <v>-17</v>
      </c>
      <c r="K5" s="161">
        <v>-16</v>
      </c>
      <c r="L5" s="161">
        <v>-15</v>
      </c>
      <c r="M5" s="161">
        <v>-14</v>
      </c>
      <c r="N5" s="161">
        <v>-13</v>
      </c>
      <c r="O5" s="161">
        <v>-12</v>
      </c>
      <c r="P5" s="161">
        <v>-11</v>
      </c>
      <c r="Q5" s="161">
        <v>-10</v>
      </c>
      <c r="R5" s="161">
        <v>-9</v>
      </c>
      <c r="S5" s="161">
        <v>-8</v>
      </c>
      <c r="T5" s="161">
        <v>-7</v>
      </c>
      <c r="U5" s="161">
        <v>-6</v>
      </c>
      <c r="V5" s="161">
        <v>-5</v>
      </c>
      <c r="W5" s="161">
        <v>-4</v>
      </c>
      <c r="X5" s="161">
        <v>-3</v>
      </c>
      <c r="Y5" s="161">
        <v>-2</v>
      </c>
      <c r="Z5" s="161">
        <v>-1</v>
      </c>
      <c r="AA5" s="161">
        <v>0</v>
      </c>
      <c r="AB5" s="161">
        <v>1</v>
      </c>
      <c r="AC5" s="161">
        <v>2</v>
      </c>
      <c r="AD5" s="161">
        <v>3</v>
      </c>
      <c r="AE5" s="161">
        <v>4</v>
      </c>
      <c r="AF5" s="161">
        <v>5</v>
      </c>
      <c r="AG5" s="161">
        <v>6</v>
      </c>
      <c r="AH5" s="161">
        <v>7</v>
      </c>
      <c r="AI5" s="161">
        <v>8</v>
      </c>
      <c r="AJ5" s="161">
        <v>9</v>
      </c>
      <c r="AK5" s="161">
        <v>10</v>
      </c>
      <c r="AL5" s="161">
        <v>11</v>
      </c>
      <c r="AM5" s="161">
        <v>12</v>
      </c>
      <c r="AN5" s="161">
        <v>13</v>
      </c>
      <c r="AO5" s="161">
        <v>14</v>
      </c>
      <c r="AP5" s="161">
        <v>15</v>
      </c>
      <c r="AQ5" s="161">
        <v>16</v>
      </c>
      <c r="AR5" s="161">
        <v>17</v>
      </c>
      <c r="AS5" s="161">
        <v>18</v>
      </c>
      <c r="AT5" s="161">
        <v>19</v>
      </c>
      <c r="AU5" s="161">
        <v>20</v>
      </c>
      <c r="AV5" s="161">
        <v>21</v>
      </c>
      <c r="AW5" s="161">
        <v>22</v>
      </c>
      <c r="AX5" s="161">
        <v>23</v>
      </c>
      <c r="AY5" s="161">
        <v>24</v>
      </c>
      <c r="AZ5" s="161">
        <v>25</v>
      </c>
      <c r="BA5" s="161">
        <v>26</v>
      </c>
      <c r="BB5" s="161">
        <v>27</v>
      </c>
      <c r="BC5" s="161">
        <v>28</v>
      </c>
      <c r="BD5" s="161">
        <v>29</v>
      </c>
      <c r="BE5" s="161">
        <v>30</v>
      </c>
      <c r="BF5" s="161">
        <v>31</v>
      </c>
      <c r="BG5" s="161">
        <v>32</v>
      </c>
      <c r="BH5" s="161">
        <v>33</v>
      </c>
    </row>
    <row r="6" spans="1:63" s="190" customFormat="1" x14ac:dyDescent="0.2">
      <c r="A6" s="282" t="s">
        <v>658</v>
      </c>
      <c r="G6" s="190">
        <v>3</v>
      </c>
      <c r="H6" s="190">
        <v>4</v>
      </c>
      <c r="I6" s="190">
        <v>5</v>
      </c>
      <c r="J6" s="190">
        <v>6</v>
      </c>
      <c r="K6" s="190">
        <v>7</v>
      </c>
      <c r="L6" s="190">
        <v>8</v>
      </c>
      <c r="M6" s="190">
        <v>9</v>
      </c>
      <c r="N6" s="190">
        <v>10</v>
      </c>
      <c r="O6" s="190">
        <v>11</v>
      </c>
      <c r="P6" s="190">
        <v>12</v>
      </c>
      <c r="Q6" s="190">
        <v>13</v>
      </c>
      <c r="R6" s="190">
        <v>14</v>
      </c>
      <c r="S6" s="190">
        <v>15</v>
      </c>
      <c r="T6" s="190">
        <v>16</v>
      </c>
      <c r="U6" s="190">
        <v>17</v>
      </c>
      <c r="V6" s="190">
        <v>18</v>
      </c>
      <c r="W6" s="190">
        <v>19</v>
      </c>
      <c r="X6" s="190">
        <v>20</v>
      </c>
      <c r="Y6" s="190">
        <v>21</v>
      </c>
      <c r="Z6" s="190">
        <v>22</v>
      </c>
      <c r="AA6" s="190">
        <v>23</v>
      </c>
      <c r="AB6" s="190">
        <v>24</v>
      </c>
      <c r="AC6" s="190">
        <v>25</v>
      </c>
      <c r="AD6" s="190">
        <v>26</v>
      </c>
      <c r="AE6" s="190">
        <v>27</v>
      </c>
      <c r="AF6" s="190">
        <v>28</v>
      </c>
      <c r="AG6" s="190">
        <v>29</v>
      </c>
      <c r="AH6" s="190">
        <v>30</v>
      </c>
      <c r="AI6" s="190">
        <v>31</v>
      </c>
      <c r="AJ6" s="190">
        <v>32</v>
      </c>
      <c r="AK6" s="190">
        <v>33</v>
      </c>
      <c r="AL6" s="190">
        <v>34</v>
      </c>
      <c r="AM6" s="190">
        <v>35</v>
      </c>
      <c r="AN6" s="190">
        <v>36</v>
      </c>
      <c r="AO6" s="190">
        <v>37</v>
      </c>
      <c r="AP6" s="190">
        <v>38</v>
      </c>
      <c r="AQ6" s="190">
        <v>39</v>
      </c>
      <c r="AR6" s="190">
        <v>40</v>
      </c>
      <c r="AS6" s="190">
        <v>41</v>
      </c>
      <c r="AT6" s="190">
        <v>42</v>
      </c>
      <c r="AU6" s="190">
        <v>43</v>
      </c>
      <c r="AV6" s="190">
        <v>44</v>
      </c>
      <c r="AW6" s="190">
        <v>45</v>
      </c>
      <c r="AX6" s="190">
        <v>46</v>
      </c>
      <c r="AY6" s="190">
        <v>47</v>
      </c>
      <c r="AZ6" s="190">
        <v>48</v>
      </c>
      <c r="BA6" s="190">
        <v>49</v>
      </c>
      <c r="BB6" s="190">
        <v>50</v>
      </c>
      <c r="BC6" s="190">
        <v>51</v>
      </c>
      <c r="BD6" s="190">
        <v>52</v>
      </c>
      <c r="BE6" s="190">
        <v>53</v>
      </c>
      <c r="BF6" s="190">
        <v>54</v>
      </c>
      <c r="BG6" s="190">
        <v>55</v>
      </c>
      <c r="BH6" s="190">
        <v>56</v>
      </c>
    </row>
    <row r="7" spans="1:63" s="190" customFormat="1" ht="13.5" thickBot="1" x14ac:dyDescent="0.25">
      <c r="A7" s="310" t="s">
        <v>657</v>
      </c>
      <c r="B7" s="161">
        <v>0</v>
      </c>
      <c r="C7" s="161">
        <v>0</v>
      </c>
      <c r="D7" s="161">
        <v>0</v>
      </c>
      <c r="E7" s="161">
        <v>0</v>
      </c>
      <c r="F7" s="161">
        <v>0</v>
      </c>
      <c r="G7" s="161">
        <f>VLOOKUP(Données!$C$14,'BdD Localisation'!$C$111:$BD$206,G$6,FALSE)</f>
        <v>0</v>
      </c>
      <c r="H7" s="161">
        <f>VLOOKUP(Données!$C$14,'BdD Localisation'!$C$111:$BD$206,H$6,FALSE)</f>
        <v>0</v>
      </c>
      <c r="I7" s="161">
        <f>VLOOKUP(Données!$C$14,'BdD Localisation'!$C$111:$BD$206,I$6,FALSE)</f>
        <v>0</v>
      </c>
      <c r="J7" s="161">
        <f>VLOOKUP(Données!$C$14,'BdD Localisation'!$C$111:$BD$206,J$6,FALSE)</f>
        <v>0</v>
      </c>
      <c r="K7" s="161">
        <f>VLOOKUP(Données!$C$14,'BdD Localisation'!$C$111:$BD$206,K$6,FALSE)</f>
        <v>0</v>
      </c>
      <c r="L7" s="161">
        <f>VLOOKUP(Données!$C$14,'BdD Localisation'!$C$111:$BD$206,L$6,FALSE)</f>
        <v>0</v>
      </c>
      <c r="M7" s="161">
        <f>VLOOKUP(Données!$C$14,'BdD Localisation'!$C$111:$BD$206,M$6,FALSE)</f>
        <v>0</v>
      </c>
      <c r="N7" s="161">
        <f>VLOOKUP(Données!$C$14,'BdD Localisation'!$C$111:$BD$206,N$6,FALSE)</f>
        <v>0.1</v>
      </c>
      <c r="O7" s="161">
        <f>VLOOKUP(Données!$C$14,'BdD Localisation'!$C$111:$BD$206,O$6,FALSE)</f>
        <v>0.15</v>
      </c>
      <c r="P7" s="161">
        <f>VLOOKUP(Données!$C$14,'BdD Localisation'!$C$111:$BD$206,P$6,FALSE)</f>
        <v>0.1</v>
      </c>
      <c r="Q7" s="161">
        <f>VLOOKUP(Données!$C$14,'BdD Localisation'!$C$111:$BD$206,Q$6,FALSE)</f>
        <v>0.15</v>
      </c>
      <c r="R7" s="161">
        <f>VLOOKUP(Données!$C$14,'BdD Localisation'!$C$111:$BD$206,R$6,FALSE)</f>
        <v>0.35</v>
      </c>
      <c r="S7" s="161">
        <f>VLOOKUP(Données!$C$14,'BdD Localisation'!$C$111:$BD$206,S$6,FALSE)</f>
        <v>0.5</v>
      </c>
      <c r="T7" s="161">
        <f>VLOOKUP(Données!$C$14,'BdD Localisation'!$C$111:$BD$206,T$6,FALSE)</f>
        <v>0.8</v>
      </c>
      <c r="U7" s="161">
        <f>VLOOKUP(Données!$C$14,'BdD Localisation'!$C$111:$BD$206,U$6,FALSE)</f>
        <v>1.65</v>
      </c>
      <c r="V7" s="161">
        <f>VLOOKUP(Données!$C$14,'BdD Localisation'!$C$111:$BD$206,V$6,FALSE)</f>
        <v>2.4</v>
      </c>
      <c r="W7" s="161">
        <f>VLOOKUP(Données!$C$14,'BdD Localisation'!$C$111:$BD$206,W$6,FALSE)</f>
        <v>3.4</v>
      </c>
      <c r="X7" s="161">
        <f>VLOOKUP(Données!$C$14,'BdD Localisation'!$C$111:$BD$206,X$6,FALSE)</f>
        <v>3.55</v>
      </c>
      <c r="Y7" s="161">
        <f>VLOOKUP(Données!$C$14,'BdD Localisation'!$C$111:$BD$206,Y$6,FALSE)</f>
        <v>6.35</v>
      </c>
      <c r="Z7" s="161">
        <f>VLOOKUP(Données!$C$14,'BdD Localisation'!$C$111:$BD$206,Z$6,FALSE)</f>
        <v>6.85</v>
      </c>
      <c r="AA7" s="161">
        <f>VLOOKUP(Données!$C$14,'BdD Localisation'!$C$111:$BD$206,AA$6,FALSE)</f>
        <v>8.4499999999999993</v>
      </c>
      <c r="AB7" s="161">
        <f>VLOOKUP(Données!$C$14,'BdD Localisation'!$C$111:$BD$206,AB$6,FALSE)</f>
        <v>9.8000000000000007</v>
      </c>
      <c r="AC7" s="161">
        <f>VLOOKUP(Données!$C$14,'BdD Localisation'!$C$111:$BD$206,AC$6,FALSE)</f>
        <v>10.35</v>
      </c>
      <c r="AD7" s="161">
        <f>VLOOKUP(Données!$C$14,'BdD Localisation'!$C$111:$BD$206,AD$6,FALSE)</f>
        <v>11.95</v>
      </c>
      <c r="AE7" s="161">
        <f>VLOOKUP(Données!$C$14,'BdD Localisation'!$C$111:$BD$206,AE$6,FALSE)</f>
        <v>14.25</v>
      </c>
      <c r="AF7" s="161">
        <f>VLOOKUP(Données!$C$14,'BdD Localisation'!$C$111:$BD$206,AF$6,FALSE)</f>
        <v>15.75</v>
      </c>
      <c r="AG7" s="161">
        <f>VLOOKUP(Données!$C$14,'BdD Localisation'!$C$111:$BD$206,AG$6,FALSE)</f>
        <v>14.9</v>
      </c>
      <c r="AH7" s="161">
        <f>VLOOKUP(Données!$C$14,'BdD Localisation'!$C$111:$BD$206,AH$6,FALSE)</f>
        <v>16.05</v>
      </c>
      <c r="AI7" s="161">
        <f>VLOOKUP(Données!$C$14,'BdD Localisation'!$C$111:$BD$206,AI$6,FALSE)</f>
        <v>15.8</v>
      </c>
      <c r="AJ7" s="161">
        <f>VLOOKUP(Données!$C$14,'BdD Localisation'!$C$111:$BD$206,AJ$6,FALSE)</f>
        <v>15.5</v>
      </c>
      <c r="AK7" s="161">
        <f>VLOOKUP(Données!$C$14,'BdD Localisation'!$C$111:$BD$206,AK$6,FALSE)</f>
        <v>15.45</v>
      </c>
      <c r="AL7" s="161">
        <f>VLOOKUP(Données!$C$14,'BdD Localisation'!$C$111:$BD$206,AL$6,FALSE)</f>
        <v>14.85</v>
      </c>
      <c r="AM7" s="161">
        <f>VLOOKUP(Données!$C$14,'BdD Localisation'!$C$111:$BD$206,AM$6,FALSE)</f>
        <v>13.7</v>
      </c>
      <c r="AN7" s="161">
        <f>VLOOKUP(Données!$C$14,'BdD Localisation'!$C$111:$BD$206,AN$6,FALSE)</f>
        <v>14.75</v>
      </c>
      <c r="AO7" s="161">
        <f>VLOOKUP(Données!$C$14,'BdD Localisation'!$C$111:$BD$206,AO$6,FALSE)</f>
        <v>16.7</v>
      </c>
      <c r="AP7" s="161">
        <f>VLOOKUP(Données!$C$14,'BdD Localisation'!$C$111:$BD$206,AP$6,FALSE)</f>
        <v>17.25</v>
      </c>
      <c r="AQ7" s="161">
        <f>VLOOKUP(Données!$C$14,'BdD Localisation'!$C$111:$BD$206,AQ$6,FALSE)</f>
        <v>16.350000000000001</v>
      </c>
      <c r="AR7" s="161">
        <f>VLOOKUP(Données!$C$14,'BdD Localisation'!$C$111:$BD$206,AR$6,FALSE)</f>
        <v>17.75</v>
      </c>
      <c r="AS7" s="161">
        <f>VLOOKUP(Données!$C$14,'BdD Localisation'!$C$111:$BD$206,AS$6,FALSE)</f>
        <v>16.3</v>
      </c>
      <c r="AT7" s="161">
        <f>VLOOKUP(Données!$C$14,'BdD Localisation'!$C$111:$BD$206,AT$6,FALSE)</f>
        <v>14.45</v>
      </c>
      <c r="AU7" s="161">
        <f>VLOOKUP(Données!$C$14,'BdD Localisation'!$C$111:$BD$206,AU$6,FALSE)</f>
        <v>11.6</v>
      </c>
      <c r="AV7" s="161">
        <f>VLOOKUP(Données!$C$14,'BdD Localisation'!$C$111:$BD$206,AV$6,FALSE)</f>
        <v>11.4</v>
      </c>
      <c r="AW7" s="161">
        <f>VLOOKUP(Données!$C$14,'BdD Localisation'!$C$111:$BD$206,AW$6,FALSE)</f>
        <v>10.199999999999999</v>
      </c>
      <c r="AX7" s="161">
        <f>VLOOKUP(Données!$C$14,'BdD Localisation'!$C$111:$BD$206,AX$6,FALSE)</f>
        <v>6.65</v>
      </c>
      <c r="AY7" s="161">
        <f>VLOOKUP(Données!$C$14,'BdD Localisation'!$C$111:$BD$206,AY$6,FALSE)</f>
        <v>4.5</v>
      </c>
      <c r="AZ7" s="161">
        <f>VLOOKUP(Données!$C$14,'BdD Localisation'!$C$111:$BD$206,AZ$6,FALSE)</f>
        <v>2.35</v>
      </c>
      <c r="BA7" s="161">
        <f>VLOOKUP(Données!$C$14,'BdD Localisation'!$C$111:$BD$206,BA$6,FALSE)</f>
        <v>0.9</v>
      </c>
      <c r="BB7" s="161">
        <f>VLOOKUP(Données!$C$14,'BdD Localisation'!$C$111:$BD$206,BB$6,FALSE)</f>
        <v>0.6</v>
      </c>
      <c r="BC7" s="161">
        <f>VLOOKUP(Données!$C$14,'BdD Localisation'!$C$111:$BD$206,BC$6,FALSE)</f>
        <v>0.25</v>
      </c>
      <c r="BD7" s="161">
        <f>VLOOKUP(Données!$C$14,'BdD Localisation'!$C$111:$BD$206,BD$6,FALSE)</f>
        <v>0.1</v>
      </c>
      <c r="BE7" s="161">
        <f>VLOOKUP(Données!$C$14,'BdD Localisation'!$C$111:$BD$206,BE$6,FALSE)</f>
        <v>0</v>
      </c>
      <c r="BF7" s="161">
        <f>VLOOKUP(Données!$C$14,'BdD Localisation'!$C$111:$BD$206,BF$6,FALSE)</f>
        <v>0</v>
      </c>
      <c r="BG7" s="161">
        <f>VLOOKUP(Données!$C$14,'BdD Localisation'!$C$111:$BF$206,BG$6,FALSE)</f>
        <v>0</v>
      </c>
      <c r="BH7" s="161">
        <f>VLOOKUP(Données!$C$14,'BdD Localisation'!$C$111:$BF$206,BH$6,FALSE)</f>
        <v>0</v>
      </c>
      <c r="BI7" s="258">
        <f t="shared" ref="BI7" si="0">SUM(B7:BH7)</f>
        <v>365.25</v>
      </c>
      <c r="BJ7" s="258" t="s">
        <v>655</v>
      </c>
    </row>
    <row r="8" spans="1:63" s="190" customFormat="1" ht="13.5" thickBot="1" x14ac:dyDescent="0.25">
      <c r="A8" s="340" t="s">
        <v>345</v>
      </c>
      <c r="B8" s="341"/>
      <c r="C8" s="341"/>
      <c r="D8" s="341"/>
      <c r="E8" s="341"/>
      <c r="F8" s="341"/>
      <c r="G8" s="341"/>
      <c r="H8" s="341"/>
      <c r="I8" s="341"/>
      <c r="J8" s="341"/>
      <c r="K8" s="341"/>
      <c r="L8" s="341"/>
      <c r="M8" s="341"/>
      <c r="N8" s="341"/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1"/>
      <c r="Z8" s="341"/>
      <c r="AA8" s="341"/>
      <c r="AB8" s="341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  <c r="BG8" s="341"/>
      <c r="BH8" s="342"/>
      <c r="BI8" s="258"/>
    </row>
    <row r="9" spans="1:63" s="190" customFormat="1" x14ac:dyDescent="0.2">
      <c r="A9" s="312" t="s">
        <v>672</v>
      </c>
      <c r="B9" s="269">
        <f>(Données!$C$33*1.16*'BdD Bâtiment'!$I$28*45*Résultats!B7/1000)</f>
        <v>0</v>
      </c>
      <c r="C9" s="269">
        <f>(Données!$C$33*1.16*'BdD Bâtiment'!$I$28*45*Résultats!C7/1000)</f>
        <v>0</v>
      </c>
      <c r="D9" s="269">
        <f>(Données!$C$33*1.16*'BdD Bâtiment'!$I$28*45*Résultats!D7/1000)</f>
        <v>0</v>
      </c>
      <c r="E9" s="269">
        <f>(Données!$C$33*1.16*'BdD Bâtiment'!$I$28*45*Résultats!E7/1000)</f>
        <v>0</v>
      </c>
      <c r="F9" s="269">
        <f>(Données!$C$33*1.16*'BdD Bâtiment'!$I$28*45*Résultats!F7/1000)</f>
        <v>0</v>
      </c>
      <c r="G9" s="269">
        <f>(Données!$C$33*1.16*'BdD Bâtiment'!$I$28*45*Résultats!G7/1000)</f>
        <v>0</v>
      </c>
      <c r="H9" s="269">
        <f>(Données!$C$33*1.16*'BdD Bâtiment'!$I$28*45*Résultats!H7/1000)</f>
        <v>0</v>
      </c>
      <c r="I9" s="269">
        <f>(Données!$C$33*1.16*'BdD Bâtiment'!$I$28*45*Résultats!I7/1000)</f>
        <v>0</v>
      </c>
      <c r="J9" s="269">
        <f>(Données!$C$33*1.16*'BdD Bâtiment'!$I$28*45*Résultats!J7/1000)</f>
        <v>0</v>
      </c>
      <c r="K9" s="269">
        <f>(Données!$C$33*1.16*'BdD Bâtiment'!$I$28*45*Résultats!K7/1000)</f>
        <v>0</v>
      </c>
      <c r="L9" s="269">
        <f>(Données!$C$33*1.16*'BdD Bâtiment'!$I$28*45*Résultats!L7/1000)</f>
        <v>0</v>
      </c>
      <c r="M9" s="269">
        <f>(Données!$C$33*1.16*'BdD Bâtiment'!$I$28*45*Résultats!M7/1000)</f>
        <v>0</v>
      </c>
      <c r="N9" s="269">
        <f>(Données!$C$33*1.16*'BdD Bâtiment'!$I$28*45*Résultats!N7/1000)</f>
        <v>1.0439999999999998</v>
      </c>
      <c r="O9" s="269">
        <f>(Données!$C$33*1.16*'BdD Bâtiment'!$I$28*45*Résultats!O7/1000)</f>
        <v>1.5659999999999998</v>
      </c>
      <c r="P9" s="269">
        <f>(Données!$C$33*1.16*'BdD Bâtiment'!$I$28*45*Résultats!P7/1000)</f>
        <v>1.0439999999999998</v>
      </c>
      <c r="Q9" s="269">
        <f>(Données!$C$33*1.16*'BdD Bâtiment'!$I$28*45*Résultats!Q7/1000)</f>
        <v>1.5659999999999998</v>
      </c>
      <c r="R9" s="269">
        <f>(Données!$C$33*1.16*'BdD Bâtiment'!$I$28*45*Résultats!R7/1000)</f>
        <v>3.653999999999999</v>
      </c>
      <c r="S9" s="269">
        <f>(Données!$C$33*1.16*'BdD Bâtiment'!$I$28*45*Résultats!S7/1000)</f>
        <v>5.2199999999999989</v>
      </c>
      <c r="T9" s="269">
        <f>(Données!$C$33*1.16*'BdD Bâtiment'!$I$28*45*Résultats!T7/1000)</f>
        <v>8.3519999999999985</v>
      </c>
      <c r="U9" s="269">
        <f>(Données!$C$33*1.16*'BdD Bâtiment'!$I$28*45*Résultats!U7/1000)</f>
        <v>17.225999999999996</v>
      </c>
      <c r="V9" s="269">
        <f>(Données!$C$33*1.16*'BdD Bâtiment'!$I$28*45*Résultats!V7/1000)</f>
        <v>25.055999999999997</v>
      </c>
      <c r="W9" s="269">
        <f>(Données!$C$33*1.16*'BdD Bâtiment'!$I$28*45*Résultats!W7/1000)</f>
        <v>35.495999999999995</v>
      </c>
      <c r="X9" s="269">
        <f>(Données!$C$33*1.16*'BdD Bâtiment'!$I$28*45*Résultats!X7/1000)</f>
        <v>37.061999999999991</v>
      </c>
      <c r="Y9" s="269">
        <f>(Données!$C$33*1.16*'BdD Bâtiment'!$I$28*45*Résultats!Y7/1000)</f>
        <v>66.293999999999983</v>
      </c>
      <c r="Z9" s="269">
        <f>(Données!$C$33*1.16*'BdD Bâtiment'!$I$28*45*Résultats!Z7/1000)</f>
        <v>71.513999999999982</v>
      </c>
      <c r="AA9" s="269">
        <f>(Données!$C$33*1.16*'BdD Bâtiment'!$I$28*45*Résultats!AA7/1000)</f>
        <v>88.217999999999975</v>
      </c>
      <c r="AB9" s="269">
        <f>(Données!$C$33*1.16*'BdD Bâtiment'!$I$28*45*Résultats!AB7/1000)</f>
        <v>102.31199999999998</v>
      </c>
      <c r="AC9" s="269">
        <f>(Données!$C$33*1.16*'BdD Bâtiment'!$I$28*45*Résultats!AC7/1000)</f>
        <v>108.05399999999997</v>
      </c>
      <c r="AD9" s="269">
        <f>(Données!$C$33*1.16*'BdD Bâtiment'!$I$28*45*Résultats!AD7/1000)</f>
        <v>124.75799999999997</v>
      </c>
      <c r="AE9" s="269">
        <f>(Données!$C$33*1.16*'BdD Bâtiment'!$I$28*45*Résultats!AE7/1000)</f>
        <v>148.76999999999998</v>
      </c>
      <c r="AF9" s="269">
        <f>(Données!$C$33*1.16*'BdD Bâtiment'!$I$28*45*Résultats!AF7/1000)</f>
        <v>164.42999999999998</v>
      </c>
      <c r="AG9" s="269">
        <f>(Données!$C$33*1.16*'BdD Bâtiment'!$I$28*45*Résultats!AG7/1000)</f>
        <v>155.55599999999998</v>
      </c>
      <c r="AH9" s="269">
        <f>(Données!$C$33*1.16*'BdD Bâtiment'!$I$28*45*Résultats!AH7/1000)</f>
        <v>167.56199999999998</v>
      </c>
      <c r="AI9" s="269">
        <f>(Données!$C$33*1.16*'BdD Bâtiment'!$I$28*45*Résultats!AI7/1000)</f>
        <v>164.95199999999997</v>
      </c>
      <c r="AJ9" s="269">
        <f>(Données!$C$33*1.16*'BdD Bâtiment'!$I$28*45*Résultats!AJ7/1000)</f>
        <v>161.81999999999996</v>
      </c>
      <c r="AK9" s="269">
        <f>(Données!$C$33*1.16*'BdD Bâtiment'!$I$28*45*Résultats!AK7/1000)</f>
        <v>161.29799999999997</v>
      </c>
      <c r="AL9" s="269">
        <f>(Données!$C$33*1.16*'BdD Bâtiment'!$I$28*45*Résultats!AL7/1000)</f>
        <v>155.03399999999996</v>
      </c>
      <c r="AM9" s="269">
        <f>(Données!$C$33*1.16*'BdD Bâtiment'!$I$28*45*Résultats!AM7/1000)</f>
        <v>143.02799999999996</v>
      </c>
      <c r="AN9" s="269">
        <f>(Données!$C$33*1.16*'BdD Bâtiment'!$I$28*45*Résultats!AN7/1000)</f>
        <v>153.98999999999998</v>
      </c>
      <c r="AO9" s="269">
        <f>(Données!$C$33*1.16*'BdD Bâtiment'!$I$28*45*Résultats!AO7/1000)</f>
        <v>174.34799999999998</v>
      </c>
      <c r="AP9" s="269">
        <f>(Données!$C$33*1.16*'BdD Bâtiment'!$I$28*45*Résultats!AP7/1000)</f>
        <v>180.08999999999997</v>
      </c>
      <c r="AQ9" s="269">
        <f>(Données!$C$33*1.16*'BdD Bâtiment'!$I$28*45*Résultats!AQ7/1000)</f>
        <v>170.69399999999996</v>
      </c>
      <c r="AR9" s="269">
        <f>(Données!$C$33*1.16*'BdD Bâtiment'!$I$28*45*Résultats!AR7/1000)</f>
        <v>185.30999999999997</v>
      </c>
      <c r="AS9" s="269">
        <f>(Données!$C$33*1.16*'BdD Bâtiment'!$I$28*45*Résultats!AS7/1000)</f>
        <v>170.17199999999997</v>
      </c>
      <c r="AT9" s="269">
        <f>(Données!$C$33*1.16*'BdD Bâtiment'!$I$28*45*Résultats!AT7/1000)</f>
        <v>150.85799999999998</v>
      </c>
      <c r="AU9" s="269">
        <f>(Données!$C$33*1.16*'BdD Bâtiment'!$I$28*45*Résultats!AU7/1000)</f>
        <v>121.10399999999997</v>
      </c>
      <c r="AV9" s="269">
        <f>(Données!$C$33*1.16*'BdD Bâtiment'!$I$28*45*Résultats!AV7/1000)</f>
        <v>119.01599999999999</v>
      </c>
      <c r="AW9" s="269">
        <f>(Données!$C$33*1.16*'BdD Bâtiment'!$I$28*45*Résultats!AW7/1000)</f>
        <v>106.48799999999997</v>
      </c>
      <c r="AX9" s="269">
        <f>(Données!$C$33*1.16*'BdD Bâtiment'!$I$28*45*Résultats!AX7/1000)</f>
        <v>69.425999999999988</v>
      </c>
      <c r="AY9" s="269">
        <f>(Données!$C$33*1.16*'BdD Bâtiment'!$I$28*45*Résultats!AY7/1000)</f>
        <v>46.97999999999999</v>
      </c>
      <c r="AZ9" s="269">
        <f>(Données!$C$33*1.16*'BdD Bâtiment'!$I$28*45*Résultats!AZ7/1000)</f>
        <v>24.533999999999995</v>
      </c>
      <c r="BA9" s="269">
        <f>(Données!$C$33*1.16*'BdD Bâtiment'!$I$28*45*Résultats!BA7/1000)</f>
        <v>9.395999999999999</v>
      </c>
      <c r="BB9" s="269">
        <f>(Données!$C$33*1.16*'BdD Bâtiment'!$I$28*45*Résultats!BB7/1000)</f>
        <v>6.2639999999999993</v>
      </c>
      <c r="BC9" s="269">
        <f>(Données!$C$33*1.16*'BdD Bâtiment'!$I$28*45*Résultats!BC7/1000)</f>
        <v>2.6099999999999994</v>
      </c>
      <c r="BD9" s="269">
        <f>(Données!$C$33*1.16*'BdD Bâtiment'!$I$28*45*Résultats!BD7/1000)</f>
        <v>1.0439999999999998</v>
      </c>
      <c r="BE9" s="269">
        <f>(Données!$C$33*1.16*'BdD Bâtiment'!$I$28*45*Résultats!BE7/1000)</f>
        <v>0</v>
      </c>
      <c r="BF9" s="269">
        <f>(Données!$C$33*1.16*'BdD Bâtiment'!$I$28*45*Résultats!BF7/1000)</f>
        <v>0</v>
      </c>
      <c r="BG9" s="269">
        <f>(Données!$C$33*1.16*'BdD Bâtiment'!$I$28*45*Résultats!BG7/1000)</f>
        <v>0</v>
      </c>
      <c r="BH9" s="270">
        <f>(Données!$C$33*1.16*'BdD Bâtiment'!$I$28*45*Résultats!BH7/1000)</f>
        <v>0</v>
      </c>
      <c r="BI9" s="333">
        <f>SUM(B9:BH9)</f>
        <v>3813.2099999999996</v>
      </c>
      <c r="BJ9" s="258" t="s">
        <v>652</v>
      </c>
    </row>
    <row r="10" spans="1:63" s="190" customFormat="1" x14ac:dyDescent="0.2">
      <c r="A10" s="338" t="s">
        <v>670</v>
      </c>
      <c r="B10" s="337">
        <f>IF(Données!$C$46&lt;&gt;'BdD Bâtiment'!$B$65,(Données!$C$33*1.16*'BdD Bâtiment'!$I$28*45*Résultats!B7/1000)*(1-(Données!$F$46/100)),Données!$C$33*1.16*'BdD Bâtiment'!$I$28*45*Résultats!B7/1000)</f>
        <v>0</v>
      </c>
      <c r="C10" s="337">
        <f>IF(Données!$C$46&lt;&gt;'BdD Bâtiment'!$B$65,(Données!$C$33*1.16*'BdD Bâtiment'!$I$28*45*Résultats!C7/1000)*(1-(Données!$F$46/100)),Données!$C$33*1.16*'BdD Bâtiment'!$I$28*45*Résultats!C7/1000)</f>
        <v>0</v>
      </c>
      <c r="D10" s="337">
        <f>IF(Données!$C$46&lt;&gt;'BdD Bâtiment'!$B$65,(Données!$C$33*1.16*'BdD Bâtiment'!$I$28*45*Résultats!D7/1000)*(1-(Données!$F$46/100)),Données!$C$33*1.16*'BdD Bâtiment'!$I$28*45*Résultats!D7/1000)</f>
        <v>0</v>
      </c>
      <c r="E10" s="337">
        <f>IF(Données!$C$46&lt;&gt;'BdD Bâtiment'!$B$65,(Données!$C$33*1.16*'BdD Bâtiment'!$I$28*45*Résultats!E7/1000)*(1-(Données!$F$46/100)),Données!$C$33*1.16*'BdD Bâtiment'!$I$28*45*Résultats!E7/1000)</f>
        <v>0</v>
      </c>
      <c r="F10" s="337">
        <f>IF(Données!$C$46&lt;&gt;'BdD Bâtiment'!$B$65,(Données!$C$33*1.16*'BdD Bâtiment'!$I$28*45*Résultats!F7/1000)*(1-(Données!$F$46/100)),Données!$C$33*1.16*'BdD Bâtiment'!$I$28*45*Résultats!F7/1000)</f>
        <v>0</v>
      </c>
      <c r="G10" s="337">
        <f>IF(Données!$C$46&lt;&gt;'BdD Bâtiment'!$B$65,(Données!$C$33*1.16*'BdD Bâtiment'!$I$28*45*Résultats!G7/1000)*(1-(Données!$F$46/100)),Données!$C$33*1.16*'BdD Bâtiment'!$I$28*45*Résultats!G7/1000)</f>
        <v>0</v>
      </c>
      <c r="H10" s="337">
        <f>IF(Données!$C$46&lt;&gt;'BdD Bâtiment'!$B$65,(Données!$C$33*1.16*'BdD Bâtiment'!$I$28*45*Résultats!H7/1000)*(1-(Données!$F$46/100)),Données!$C$33*1.16*'BdD Bâtiment'!$I$28*45*Résultats!H7/1000)</f>
        <v>0</v>
      </c>
      <c r="I10" s="337">
        <f>IF(Données!$C$46&lt;&gt;'BdD Bâtiment'!$B$65,(Données!$C$33*1.16*'BdD Bâtiment'!$I$28*45*Résultats!I7/1000)*(1-(Données!$F$46/100)),Données!$C$33*1.16*'BdD Bâtiment'!$I$28*45*Résultats!I7/1000)</f>
        <v>0</v>
      </c>
      <c r="J10" s="337">
        <f>IF(Données!$C$46&lt;&gt;'BdD Bâtiment'!$B$65,(Données!$C$33*1.16*'BdD Bâtiment'!$I$28*45*Résultats!J7/1000)*(1-(Données!$F$46/100)),Données!$C$33*1.16*'BdD Bâtiment'!$I$28*45*Résultats!J7/1000)</f>
        <v>0</v>
      </c>
      <c r="K10" s="337">
        <f>IF(Données!$C$46&lt;&gt;'BdD Bâtiment'!$B$65,(Données!$C$33*1.16*'BdD Bâtiment'!$I$28*45*Résultats!K7/1000)*(1-(Données!$F$46/100)),Données!$C$33*1.16*'BdD Bâtiment'!$I$28*45*Résultats!K7/1000)</f>
        <v>0</v>
      </c>
      <c r="L10" s="337">
        <f>IF(Données!$C$46&lt;&gt;'BdD Bâtiment'!$B$65,(Données!$C$33*1.16*'BdD Bâtiment'!$I$28*45*Résultats!L7/1000)*(1-(Données!$F$46/100)),Données!$C$33*1.16*'BdD Bâtiment'!$I$28*45*Résultats!L7/1000)</f>
        <v>0</v>
      </c>
      <c r="M10" s="337">
        <f>IF(Données!$C$46&lt;&gt;'BdD Bâtiment'!$B$65,(Données!$C$33*1.16*'BdD Bâtiment'!$I$28*45*Résultats!M7/1000)*(1-(Données!$F$46/100)),Données!$C$33*1.16*'BdD Bâtiment'!$I$28*45*Résultats!M7/1000)</f>
        <v>0</v>
      </c>
      <c r="N10" s="337">
        <f>IF(Données!$C$46&lt;&gt;'BdD Bâtiment'!$B$65,(Données!$C$33*1.16*'BdD Bâtiment'!$I$28*45*Résultats!N7/1000)*(1-(Données!$F$46/100)),Données!$C$33*1.16*'BdD Bâtiment'!$I$28*45*Résultats!N7/1000)</f>
        <v>1.0439999999999998</v>
      </c>
      <c r="O10" s="337">
        <f>IF(Données!$C$46&lt;&gt;'BdD Bâtiment'!$B$65,(Données!$C$33*1.16*'BdD Bâtiment'!$I$28*45*Résultats!O7/1000)*(1-(Données!$F$46/100)),Données!$C$33*1.16*'BdD Bâtiment'!$I$28*45*Résultats!O7/1000)</f>
        <v>1.5659999999999998</v>
      </c>
      <c r="P10" s="337">
        <f>IF(Données!$C$46&lt;&gt;'BdD Bâtiment'!$B$65,(Données!$C$33*1.16*'BdD Bâtiment'!$I$28*45*Résultats!P7/1000)*(1-(Données!$F$46/100)),Données!$C$33*1.16*'BdD Bâtiment'!$I$28*45*Résultats!P7/1000)</f>
        <v>1.0439999999999998</v>
      </c>
      <c r="Q10" s="337">
        <f>IF(Données!$C$46&lt;&gt;'BdD Bâtiment'!$B$65,(Données!$C$33*1.16*'BdD Bâtiment'!$I$28*45*Résultats!Q7/1000)*(1-(Données!$F$46/100)),Données!$C$33*1.16*'BdD Bâtiment'!$I$28*45*Résultats!Q7/1000)</f>
        <v>1.5659999999999998</v>
      </c>
      <c r="R10" s="337">
        <f>IF(Données!$C$46&lt;&gt;'BdD Bâtiment'!$B$65,(Données!$C$33*1.16*'BdD Bâtiment'!$I$28*45*Résultats!R7/1000)*(1-(Données!$F$46/100)),Données!$C$33*1.16*'BdD Bâtiment'!$I$28*45*Résultats!R7/1000)</f>
        <v>3.653999999999999</v>
      </c>
      <c r="S10" s="337">
        <f>IF(Données!$C$46&lt;&gt;'BdD Bâtiment'!$B$65,(Données!$C$33*1.16*'BdD Bâtiment'!$I$28*45*Résultats!S7/1000)*(1-(Données!$F$46/100)),Données!$C$33*1.16*'BdD Bâtiment'!$I$28*45*Résultats!S7/1000)</f>
        <v>5.2199999999999989</v>
      </c>
      <c r="T10" s="337">
        <f>IF(Données!$C$46&lt;&gt;'BdD Bâtiment'!$B$65,(Données!$C$33*1.16*'BdD Bâtiment'!$I$28*45*Résultats!T7/1000)*(1-(Données!$F$46/100)),Données!$C$33*1.16*'BdD Bâtiment'!$I$28*45*Résultats!T7/1000)</f>
        <v>8.3519999999999985</v>
      </c>
      <c r="U10" s="337">
        <f>IF(Données!$C$46&lt;&gt;'BdD Bâtiment'!$B$65,(Données!$C$33*1.16*'BdD Bâtiment'!$I$28*45*Résultats!U7/1000)*(1-(Données!$F$46/100)),Données!$C$33*1.16*'BdD Bâtiment'!$I$28*45*Résultats!U7/1000)</f>
        <v>17.225999999999996</v>
      </c>
      <c r="V10" s="337">
        <f>IF(Données!$C$46&lt;&gt;'BdD Bâtiment'!$B$65,(Données!$C$33*1.16*'BdD Bâtiment'!$I$28*45*Résultats!V7/1000)*(1-(Données!$F$46/100)),Données!$C$33*1.16*'BdD Bâtiment'!$I$28*45*Résultats!V7/1000)</f>
        <v>25.055999999999997</v>
      </c>
      <c r="W10" s="337">
        <f>IF(Données!$C$46&lt;&gt;'BdD Bâtiment'!$B$65,(Données!$C$33*1.16*'BdD Bâtiment'!$I$28*45*Résultats!W7/1000)*(1-(Données!$F$46/100)),Données!$C$33*1.16*'BdD Bâtiment'!$I$28*45*Résultats!W7/1000)</f>
        <v>35.495999999999995</v>
      </c>
      <c r="X10" s="337">
        <f>IF(Données!$C$46&lt;&gt;'BdD Bâtiment'!$B$65,(Données!$C$33*1.16*'BdD Bâtiment'!$I$28*45*Résultats!X7/1000)*(1-(Données!$F$46/100)),Données!$C$33*1.16*'BdD Bâtiment'!$I$28*45*Résultats!X7/1000)</f>
        <v>37.061999999999991</v>
      </c>
      <c r="Y10" s="337">
        <f>IF(Données!$C$46&lt;&gt;'BdD Bâtiment'!$B$65,(Données!$C$33*1.16*'BdD Bâtiment'!$I$28*45*Résultats!Y7/1000)*(1-(Données!$F$46/100)),Données!$C$33*1.16*'BdD Bâtiment'!$I$28*45*Résultats!Y7/1000)</f>
        <v>66.293999999999983</v>
      </c>
      <c r="Z10" s="337">
        <f>IF(Données!$C$46&lt;&gt;'BdD Bâtiment'!$B$65,(Données!$C$33*1.16*'BdD Bâtiment'!$I$28*45*Résultats!Z7/1000)*(1-(Données!$F$46/100)),Données!$C$33*1.16*'BdD Bâtiment'!$I$28*45*Résultats!Z7/1000)</f>
        <v>71.513999999999982</v>
      </c>
      <c r="AA10" s="337">
        <f>IF(Données!$C$46&lt;&gt;'BdD Bâtiment'!$B$65,(Données!$C$33*1.16*'BdD Bâtiment'!$I$28*45*Résultats!AA7/1000)*(1-(Données!$F$46/100)),Données!$C$33*1.16*'BdD Bâtiment'!$I$28*45*Résultats!AA7/1000)</f>
        <v>88.217999999999975</v>
      </c>
      <c r="AB10" s="337">
        <f>IF(Données!$C$46&lt;&gt;'BdD Bâtiment'!$B$65,(Données!$C$33*1.16*'BdD Bâtiment'!$I$28*45*Résultats!AB7/1000)*(1-(Données!$F$46/100)),Données!$C$33*1.16*'BdD Bâtiment'!$I$28*45*Résultats!AB7/1000)</f>
        <v>102.31199999999998</v>
      </c>
      <c r="AC10" s="337">
        <f>IF(Données!$C$46&lt;&gt;'BdD Bâtiment'!$B$65,(Données!$C$33*1.16*'BdD Bâtiment'!$I$28*45*Résultats!AC7/1000)*(1-(Données!$F$46/100)),Données!$C$33*1.16*'BdD Bâtiment'!$I$28*45*Résultats!AC7/1000)</f>
        <v>108.05399999999997</v>
      </c>
      <c r="AD10" s="337">
        <f>IF(Données!$C$46&lt;&gt;'BdD Bâtiment'!$B$65,(Données!$C$33*1.16*'BdD Bâtiment'!$I$28*45*Résultats!AD7/1000)*(1-(Données!$F$46/100)),Données!$C$33*1.16*'BdD Bâtiment'!$I$28*45*Résultats!AD7/1000)</f>
        <v>124.75799999999997</v>
      </c>
      <c r="AE10" s="337">
        <f>IF(Données!$C$46&lt;&gt;'BdD Bâtiment'!$B$65,(Données!$C$33*1.16*'BdD Bâtiment'!$I$28*45*Résultats!AE7/1000)*(1-(Données!$F$46/100)),Données!$C$33*1.16*'BdD Bâtiment'!$I$28*45*Résultats!AE7/1000)</f>
        <v>148.76999999999998</v>
      </c>
      <c r="AF10" s="337">
        <f>IF(Données!$C$46&lt;&gt;'BdD Bâtiment'!$B$65,(Données!$C$33*1.16*'BdD Bâtiment'!$I$28*45*Résultats!AF7/1000)*(1-(Données!$F$46/100)),Données!$C$33*1.16*'BdD Bâtiment'!$I$28*45*Résultats!AF7/1000)</f>
        <v>164.42999999999998</v>
      </c>
      <c r="AG10" s="337">
        <f>IF(Données!$C$46&lt;&gt;'BdD Bâtiment'!$B$65,(Données!$C$33*1.16*'BdD Bâtiment'!$I$28*45*Résultats!AG7/1000)*(1-(Données!$F$46/100)),Données!$C$33*1.16*'BdD Bâtiment'!$I$28*45*Résultats!AG7/1000)</f>
        <v>155.55599999999998</v>
      </c>
      <c r="AH10" s="337">
        <f>IF(Données!$C$46&lt;&gt;'BdD Bâtiment'!$B$65,(Données!$C$33*1.16*'BdD Bâtiment'!$I$28*45*Résultats!AH7/1000)*(1-(Données!$F$46/100)),Données!$C$33*1.16*'BdD Bâtiment'!$I$28*45*Résultats!AH7/1000)</f>
        <v>167.56199999999998</v>
      </c>
      <c r="AI10" s="337">
        <f>IF(Données!$C$46&lt;&gt;'BdD Bâtiment'!$B$65,(Données!$C$33*1.16*'BdD Bâtiment'!$I$28*45*Résultats!AI7/1000)*(1-(Données!$F$46/100)),Données!$C$33*1.16*'BdD Bâtiment'!$I$28*45*Résultats!AI7/1000)</f>
        <v>164.95199999999997</v>
      </c>
      <c r="AJ10" s="337">
        <f>IF(Données!$C$46&lt;&gt;'BdD Bâtiment'!$B$65,(Données!$C$33*1.16*'BdD Bâtiment'!$I$28*45*Résultats!AJ7/1000)*(1-(Données!$F$46/100)),Données!$C$33*1.16*'BdD Bâtiment'!$I$28*45*Résultats!AJ7/1000)</f>
        <v>161.81999999999996</v>
      </c>
      <c r="AK10" s="337">
        <f>IF(Données!$C$46&lt;&gt;'BdD Bâtiment'!$B$65,(Données!$C$33*1.16*'BdD Bâtiment'!$I$28*45*Résultats!AK7/1000)*(1-(Données!$F$46/100)),Données!$C$33*1.16*'BdD Bâtiment'!$I$28*45*Résultats!AK7/1000)</f>
        <v>161.29799999999997</v>
      </c>
      <c r="AL10" s="337">
        <f>IF(Données!$C$46&lt;&gt;'BdD Bâtiment'!$B$65,(Données!$C$33*1.16*'BdD Bâtiment'!$I$28*45*Résultats!AL7/1000)*(1-(Données!$F$46/100)),Données!$C$33*1.16*'BdD Bâtiment'!$I$28*45*Résultats!AL7/1000)</f>
        <v>155.03399999999996</v>
      </c>
      <c r="AM10" s="337">
        <f>IF(Données!$C$46&lt;&gt;'BdD Bâtiment'!$B$65,(Données!$C$33*1.16*'BdD Bâtiment'!$I$28*45*Résultats!AM7/1000)*(1-(Données!$F$46/100)),Données!$C$33*1.16*'BdD Bâtiment'!$I$28*45*Résultats!AM7/1000)</f>
        <v>143.02799999999996</v>
      </c>
      <c r="AN10" s="337">
        <f>IF(Données!$C$46&lt;&gt;'BdD Bâtiment'!$B$65,(Données!$C$33*1.16*'BdD Bâtiment'!$I$28*45*Résultats!AN7/1000)*(1-(Données!$F$46/100)),Données!$C$33*1.16*'BdD Bâtiment'!$I$28*45*Résultats!AN7/1000)</f>
        <v>153.98999999999998</v>
      </c>
      <c r="AO10" s="337">
        <f>IF(Données!$C$46&lt;&gt;'BdD Bâtiment'!$B$65,(Données!$C$33*1.16*'BdD Bâtiment'!$I$28*45*Résultats!AO7/1000)*(1-(Données!$F$46/100)),Données!$C$33*1.16*'BdD Bâtiment'!$I$28*45*Résultats!AO7/1000)</f>
        <v>174.34799999999998</v>
      </c>
      <c r="AP10" s="337">
        <f>IF(Données!$C$46&lt;&gt;'BdD Bâtiment'!$B$65,(Données!$C$33*1.16*'BdD Bâtiment'!$I$28*45*Résultats!AP7/1000)*(1-(Données!$F$46/100)),Données!$C$33*1.16*'BdD Bâtiment'!$I$28*45*Résultats!AP7/1000)</f>
        <v>180.08999999999997</v>
      </c>
      <c r="AQ10" s="337">
        <f>IF(Données!$C$46&lt;&gt;'BdD Bâtiment'!$B$65,(Données!$C$33*1.16*'BdD Bâtiment'!$I$28*45*Résultats!AQ7/1000)*(1-(Données!$F$46/100)),Données!$C$33*1.16*'BdD Bâtiment'!$I$28*45*Résultats!AQ7/1000)</f>
        <v>170.69399999999996</v>
      </c>
      <c r="AR10" s="337">
        <f>IF(Données!$C$46&lt;&gt;'BdD Bâtiment'!$B$65,(Données!$C$33*1.16*'BdD Bâtiment'!$I$28*45*Résultats!AR7/1000)*(1-(Données!$F$46/100)),Données!$C$33*1.16*'BdD Bâtiment'!$I$28*45*Résultats!AR7/1000)</f>
        <v>185.30999999999997</v>
      </c>
      <c r="AS10" s="337">
        <f>IF(Données!$C$46&lt;&gt;'BdD Bâtiment'!$B$65,(Données!$C$33*1.16*'BdD Bâtiment'!$I$28*45*Résultats!AS7/1000)*(1-(Données!$F$46/100)),Données!$C$33*1.16*'BdD Bâtiment'!$I$28*45*Résultats!AS7/1000)</f>
        <v>170.17199999999997</v>
      </c>
      <c r="AT10" s="337">
        <f>IF(Données!$C$46&lt;&gt;'BdD Bâtiment'!$B$65,(Données!$C$33*1.16*'BdD Bâtiment'!$I$28*45*Résultats!AT7/1000)*(1-(Données!$F$46/100)),Données!$C$33*1.16*'BdD Bâtiment'!$I$28*45*Résultats!AT7/1000)</f>
        <v>150.85799999999998</v>
      </c>
      <c r="AU10" s="337">
        <f>IF(Données!$C$46&lt;&gt;'BdD Bâtiment'!$B$65,(Données!$C$33*1.16*'BdD Bâtiment'!$I$28*45*Résultats!AU7/1000)*(1-(Données!$F$46/100)),Données!$C$33*1.16*'BdD Bâtiment'!$I$28*45*Résultats!AU7/1000)</f>
        <v>121.10399999999997</v>
      </c>
      <c r="AV10" s="337">
        <f>IF(Données!$C$46&lt;&gt;'BdD Bâtiment'!$B$65,(Données!$C$33*1.16*'BdD Bâtiment'!$I$28*45*Résultats!AV7/1000)*(1-(Données!$F$46/100)),Données!$C$33*1.16*'BdD Bâtiment'!$I$28*45*Résultats!AV7/1000)</f>
        <v>119.01599999999999</v>
      </c>
      <c r="AW10" s="337">
        <f>IF(Données!$C$46&lt;&gt;'BdD Bâtiment'!$B$65,(Données!$C$33*1.16*'BdD Bâtiment'!$I$28*45*Résultats!AW7/1000)*(1-(Données!$F$46/100)),Données!$C$33*1.16*'BdD Bâtiment'!$I$28*45*Résultats!AW7/1000)</f>
        <v>106.48799999999997</v>
      </c>
      <c r="AX10" s="337">
        <f>IF(Données!$C$46&lt;&gt;'BdD Bâtiment'!$B$65,(Données!$C$33*1.16*'BdD Bâtiment'!$I$28*45*Résultats!AX7/1000)*(1-(Données!$F$46/100)),Données!$C$33*1.16*'BdD Bâtiment'!$I$28*45*Résultats!AX7/1000)</f>
        <v>69.425999999999988</v>
      </c>
      <c r="AY10" s="337">
        <f>IF(Données!$C$46&lt;&gt;'BdD Bâtiment'!$B$65,(Données!$C$33*1.16*'BdD Bâtiment'!$I$28*45*Résultats!AY7/1000)*(1-(Données!$F$46/100)),Données!$C$33*1.16*'BdD Bâtiment'!$I$28*45*Résultats!AY7/1000)</f>
        <v>46.97999999999999</v>
      </c>
      <c r="AZ10" s="337">
        <f>IF(Données!$C$46&lt;&gt;'BdD Bâtiment'!$B$65,(Données!$C$33*1.16*'BdD Bâtiment'!$I$28*45*Résultats!AZ7/1000)*(1-(Données!$F$46/100)),Données!$C$33*1.16*'BdD Bâtiment'!$I$28*45*Résultats!AZ7/1000)</f>
        <v>24.533999999999995</v>
      </c>
      <c r="BA10" s="337">
        <f>IF(Données!$C$46&lt;&gt;'BdD Bâtiment'!$B$65,(Données!$C$33*1.16*'BdD Bâtiment'!$I$28*45*Résultats!BA7/1000)*(1-(Données!$F$46/100)),Données!$C$33*1.16*'BdD Bâtiment'!$I$28*45*Résultats!BA7/1000)</f>
        <v>9.395999999999999</v>
      </c>
      <c r="BB10" s="337">
        <f>IF(Données!$C$46&lt;&gt;'BdD Bâtiment'!$B$65,(Données!$C$33*1.16*'BdD Bâtiment'!$I$28*45*Résultats!BB7/1000)*(1-(Données!$F$46/100)),Données!$C$33*1.16*'BdD Bâtiment'!$I$28*45*Résultats!BB7/1000)</f>
        <v>6.2639999999999993</v>
      </c>
      <c r="BC10" s="337">
        <f>IF(Données!$C$46&lt;&gt;'BdD Bâtiment'!$B$65,(Données!$C$33*1.16*'BdD Bâtiment'!$I$28*45*Résultats!BC7/1000)*(1-(Données!$F$46/100)),Données!$C$33*1.16*'BdD Bâtiment'!$I$28*45*Résultats!BC7/1000)</f>
        <v>2.6099999999999994</v>
      </c>
      <c r="BD10" s="337">
        <f>IF(Données!$C$46&lt;&gt;'BdD Bâtiment'!$B$65,(Données!$C$33*1.16*'BdD Bâtiment'!$I$28*45*Résultats!BD7/1000)*(1-(Données!$F$46/100)),Données!$C$33*1.16*'BdD Bâtiment'!$I$28*45*Résultats!BD7/1000)</f>
        <v>1.0439999999999998</v>
      </c>
      <c r="BE10" s="337">
        <f>IF(Données!$C$46&lt;&gt;'BdD Bâtiment'!$B$65,(Données!$C$33*1.16*'BdD Bâtiment'!$I$28*45*Résultats!BE7/1000)*(1-(Données!$F$46/100)),Données!$C$33*1.16*'BdD Bâtiment'!$I$28*45*Résultats!BE7/1000)</f>
        <v>0</v>
      </c>
      <c r="BF10" s="337">
        <f>IF(Données!$C$46&lt;&gt;'BdD Bâtiment'!$B$65,(Données!$C$33*1.16*'BdD Bâtiment'!$I$28*45*Résultats!BF7/1000)*(1-(Données!$F$46/100)),Données!$C$33*1.16*'BdD Bâtiment'!$I$28*45*Résultats!BF7/1000)</f>
        <v>0</v>
      </c>
      <c r="BG10" s="337">
        <f>IF(Données!$C$46&lt;&gt;'BdD Bâtiment'!$B$65,(Données!$C$33*1.16*'BdD Bâtiment'!$I$28*45*Résultats!BG7/1000)*(1-(Données!$F$46/100)),Données!$C$33*1.16*'BdD Bâtiment'!$I$28*45*Résultats!BG7/1000)</f>
        <v>0</v>
      </c>
      <c r="BH10" s="339">
        <f>IF(Données!$C$46&lt;&gt;'BdD Bâtiment'!$B$65,(Données!$C$33*1.16*'BdD Bâtiment'!$I$28*45*Résultats!BH7/1000)*(1-(Données!$F$46/100)),Données!$C$33*1.16*'BdD Bâtiment'!$I$28*45*Résultats!BH7/1000)</f>
        <v>0</v>
      </c>
      <c r="BI10" s="333">
        <f>SUM(B10:BH10)</f>
        <v>3813.2099999999996</v>
      </c>
      <c r="BJ10" s="258" t="s">
        <v>652</v>
      </c>
    </row>
    <row r="11" spans="1:63" s="190" customFormat="1" x14ac:dyDescent="0.2">
      <c r="A11" s="277" t="str">
        <f>A34</f>
        <v>Pmax chaudière BOIS</v>
      </c>
      <c r="B11" s="252">
        <f>IF(cesc='BdD Bâtiment'!$K$78,IF(B7=0,0,pmax),0)</f>
        <v>0</v>
      </c>
      <c r="C11" s="252">
        <f>IF(cesc='BdD Bâtiment'!$K$78,IF(C7=0,0,pmax),0)</f>
        <v>0</v>
      </c>
      <c r="D11" s="252">
        <f>IF(cesc='BdD Bâtiment'!$K$78,IF(D7=0,0,pmax),0)</f>
        <v>0</v>
      </c>
      <c r="E11" s="252">
        <f>IF(cesc='BdD Bâtiment'!$K$78,IF(E7=0,0,pmax),0)</f>
        <v>0</v>
      </c>
      <c r="F11" s="252">
        <f>IF(cesc='BdD Bâtiment'!$K$78,IF(F7=0,0,pmax),0)</f>
        <v>0</v>
      </c>
      <c r="G11" s="252">
        <f>IF(cesc='BdD Bâtiment'!$K$78,IF(G7=0,0,pmax),0)</f>
        <v>0</v>
      </c>
      <c r="H11" s="252">
        <f>IF(cesc='BdD Bâtiment'!$K$78,IF(H7=0,0,pmax),0)</f>
        <v>0</v>
      </c>
      <c r="I11" s="252">
        <f>IF(cesc='BdD Bâtiment'!$K$78,IF(I7=0,0,pmax),0)</f>
        <v>0</v>
      </c>
      <c r="J11" s="252">
        <f>IF(cesc='BdD Bâtiment'!$K$78,IF(J7=0,0,pmax),0)</f>
        <v>0</v>
      </c>
      <c r="K11" s="252">
        <f>IF(cesc='BdD Bâtiment'!$K$78,IF(K7=0,0,pmax),0)</f>
        <v>0</v>
      </c>
      <c r="L11" s="252">
        <f>IF(cesc='BdD Bâtiment'!$K$78,IF(L7=0,0,pmax),0)</f>
        <v>0</v>
      </c>
      <c r="M11" s="252">
        <f>IF(cesc='BdD Bâtiment'!$K$78,IF(M7=0,0,pmax),0)</f>
        <v>0</v>
      </c>
      <c r="N11" s="252">
        <f>IF(cesc='BdD Bâtiment'!$K$78,IF(N7=0,0,pmax),0)</f>
        <v>4.7197500000000003</v>
      </c>
      <c r="O11" s="252">
        <f>IF(cesc='BdD Bâtiment'!$K$78,IF(O7=0,0,pmax),0)</f>
        <v>4.7197500000000003</v>
      </c>
      <c r="P11" s="252">
        <f>IF(cesc='BdD Bâtiment'!$K$78,IF(P7=0,0,pmax),0)</f>
        <v>4.7197500000000003</v>
      </c>
      <c r="Q11" s="252">
        <f>IF(cesc='BdD Bâtiment'!$K$78,IF(Q7=0,0,pmax),0)</f>
        <v>4.7197500000000003</v>
      </c>
      <c r="R11" s="252">
        <f>IF(cesc='BdD Bâtiment'!$K$78,IF(R7=0,0,pmax),0)</f>
        <v>4.7197500000000003</v>
      </c>
      <c r="S11" s="252">
        <f>IF(cesc='BdD Bâtiment'!$K$78,IF(S7=0,0,pmax),0)</f>
        <v>4.7197500000000003</v>
      </c>
      <c r="T11" s="252">
        <f>IF(cesc='BdD Bâtiment'!$K$78,IF(T7=0,0,pmax),0)</f>
        <v>4.7197500000000003</v>
      </c>
      <c r="U11" s="252">
        <f>IF(cesc='BdD Bâtiment'!$K$78,IF(U7=0,0,pmax),0)</f>
        <v>4.7197500000000003</v>
      </c>
      <c r="V11" s="252">
        <f>IF(cesc='BdD Bâtiment'!$K$78,IF(V7=0,0,pmax),0)</f>
        <v>4.7197500000000003</v>
      </c>
      <c r="W11" s="252">
        <f>IF(cesc='BdD Bâtiment'!$K$78,IF(W7=0,0,pmax),0)</f>
        <v>4.7197500000000003</v>
      </c>
      <c r="X11" s="252">
        <f>IF(cesc='BdD Bâtiment'!$K$78,IF(X7=0,0,pmax),0)</f>
        <v>4.7197500000000003</v>
      </c>
      <c r="Y11" s="252">
        <f>IF(cesc='BdD Bâtiment'!$K$78,IF(Y7=0,0,pmax),0)</f>
        <v>4.7197500000000003</v>
      </c>
      <c r="Z11" s="252">
        <f>IF(cesc='BdD Bâtiment'!$K$78,IF(Z7=0,0,pmax),0)</f>
        <v>4.7197500000000003</v>
      </c>
      <c r="AA11" s="252">
        <f>IF(cesc='BdD Bâtiment'!$K$78,IF(AA7=0,0,pmax),0)</f>
        <v>4.7197500000000003</v>
      </c>
      <c r="AB11" s="252">
        <f>IF(cesc='BdD Bâtiment'!$K$78,IF(AB7=0,0,pmax),0)</f>
        <v>4.7197500000000003</v>
      </c>
      <c r="AC11" s="252">
        <f>IF(cesc='BdD Bâtiment'!$K$78,IF(AC7=0,0,pmax),0)</f>
        <v>4.7197500000000003</v>
      </c>
      <c r="AD11" s="252">
        <f>IF(cesc='BdD Bâtiment'!$K$78,IF(AD7=0,0,pmax),0)</f>
        <v>4.7197500000000003</v>
      </c>
      <c r="AE11" s="252">
        <f>IF(cesc='BdD Bâtiment'!$K$78,IF(AE7=0,0,pmax),0)</f>
        <v>4.7197500000000003</v>
      </c>
      <c r="AF11" s="252">
        <f>IF(cesc='BdD Bâtiment'!$K$78,IF(AF7=0,0,pmax),0)</f>
        <v>4.7197500000000003</v>
      </c>
      <c r="AG11" s="252">
        <f>IF(cesc='BdD Bâtiment'!$K$78,IF(AG7=0,0,pmax),0)</f>
        <v>4.7197500000000003</v>
      </c>
      <c r="AH11" s="252">
        <f>IF(cesc='BdD Bâtiment'!$K$78,IF(AH7=0,0,pmax),0)</f>
        <v>4.7197500000000003</v>
      </c>
      <c r="AI11" s="252">
        <f>IF(cesc='BdD Bâtiment'!$K$78,IF(AI7=0,0,pmax),0)</f>
        <v>4.7197500000000003</v>
      </c>
      <c r="AJ11" s="252">
        <f>IF(cesc='BdD Bâtiment'!$K$78,IF(AJ7=0,0,pmax),0)</f>
        <v>4.7197500000000003</v>
      </c>
      <c r="AK11" s="252">
        <f>IF(cesc='BdD Bâtiment'!$K$78,IF(AK7=0,0,pmax),0)</f>
        <v>4.7197500000000003</v>
      </c>
      <c r="AL11" s="252">
        <f>IF(cesc='BdD Bâtiment'!$K$78,IF(AL7=0,0,pmax),0)</f>
        <v>4.7197500000000003</v>
      </c>
      <c r="AM11" s="252">
        <f>IF(cesc='BdD Bâtiment'!$K$78,IF(AM7=0,0,pmax),0)</f>
        <v>4.7197500000000003</v>
      </c>
      <c r="AN11" s="252">
        <f>IF(cesc='BdD Bâtiment'!$K$78,IF(AN7=0,0,pmax),0)</f>
        <v>4.7197500000000003</v>
      </c>
      <c r="AO11" s="252">
        <f>IF(cesc='BdD Bâtiment'!$K$78,IF(AO7=0,0,pmax),0)</f>
        <v>4.7197500000000003</v>
      </c>
      <c r="AP11" s="252">
        <f>IF(cesc='BdD Bâtiment'!$K$78,IF(AP7=0,0,pmax),0)</f>
        <v>4.7197500000000003</v>
      </c>
      <c r="AQ11" s="252">
        <f>IF(cesc='BdD Bâtiment'!$K$78,IF(AQ7=0,0,pmax),0)</f>
        <v>4.7197500000000003</v>
      </c>
      <c r="AR11" s="252">
        <f>IF(cesc='BdD Bâtiment'!$K$78,IF(AR7=0,0,pmax),0)</f>
        <v>4.7197500000000003</v>
      </c>
      <c r="AS11" s="252">
        <f>IF(cesc='BdD Bâtiment'!$K$78,IF(AS7=0,0,pmax),0)</f>
        <v>4.7197500000000003</v>
      </c>
      <c r="AT11" s="252">
        <f>IF(cesc='BdD Bâtiment'!$K$78,IF(AT7=0,0,pmax),0)</f>
        <v>4.7197500000000003</v>
      </c>
      <c r="AU11" s="252">
        <f>IF(cesc='BdD Bâtiment'!$K$78,IF(AU7=0,0,pmax),0)</f>
        <v>4.7197500000000003</v>
      </c>
      <c r="AV11" s="252">
        <f>IF(cesc='BdD Bâtiment'!$K$78,IF(AV7=0,0,pmax),0)</f>
        <v>4.7197500000000003</v>
      </c>
      <c r="AW11" s="252">
        <f>IF(cesc='BdD Bâtiment'!$K$78,IF(AW7=0,0,pmax),0)</f>
        <v>4.7197500000000003</v>
      </c>
      <c r="AX11" s="252">
        <f>IF(cesc='BdD Bâtiment'!$K$78,IF(AX7=0,0,pmax),0)</f>
        <v>4.7197500000000003</v>
      </c>
      <c r="AY11" s="252">
        <f>IF(cesc='BdD Bâtiment'!$K$78,IF(AY7=0,0,pmax),0)</f>
        <v>4.7197500000000003</v>
      </c>
      <c r="AZ11" s="252">
        <f>IF(cesc='BdD Bâtiment'!$K$78,IF(AZ7=0,0,pmax),0)</f>
        <v>4.7197500000000003</v>
      </c>
      <c r="BA11" s="252">
        <f>IF(cesc='BdD Bâtiment'!$K$78,IF(BA7=0,0,pmax),0)</f>
        <v>4.7197500000000003</v>
      </c>
      <c r="BB11" s="252">
        <f>IF(cesc='BdD Bâtiment'!$K$78,IF(BB7=0,0,pmax),0)</f>
        <v>4.7197500000000003</v>
      </c>
      <c r="BC11" s="252">
        <f>IF(cesc='BdD Bâtiment'!$K$78,IF(BC7=0,0,pmax),0)</f>
        <v>4.7197500000000003</v>
      </c>
      <c r="BD11" s="252">
        <f>IF(cesc='BdD Bâtiment'!$K$78,IF(BD7=0,0,pmax),0)</f>
        <v>4.7197500000000003</v>
      </c>
      <c r="BE11" s="252">
        <f>IF(cesc='BdD Bâtiment'!$K$78,IF(BE7=0,0,pmax),0)</f>
        <v>0</v>
      </c>
      <c r="BF11" s="252">
        <f>IF(cesc='BdD Bâtiment'!$K$78,IF(BF7=0,0,pmax),0)</f>
        <v>0</v>
      </c>
      <c r="BG11" s="252">
        <f>IF(cesc='BdD Bâtiment'!$K$78,IF(BG7=0,0,pmax),0)</f>
        <v>0</v>
      </c>
      <c r="BH11" s="313">
        <f>IF(cesc='BdD Bâtiment'!$K$78,IF(BH7=0,0,pmax),0)</f>
        <v>0</v>
      </c>
      <c r="BI11" s="258"/>
    </row>
    <row r="12" spans="1:63" s="190" customFormat="1" ht="26.25" thickBot="1" x14ac:dyDescent="0.25">
      <c r="A12" s="311" t="s">
        <v>668</v>
      </c>
      <c r="B12" s="314">
        <f>IF(B7=0,0,(Données!$C$33*1.16*'BdD Bâtiment'!$I$28*45*1/1000)/2)</f>
        <v>0</v>
      </c>
      <c r="C12" s="314">
        <f>IF(C7=0,0,(Données!$C$33*1.16*'BdD Bâtiment'!$I$28*45*1/1000)/2)</f>
        <v>0</v>
      </c>
      <c r="D12" s="314">
        <f>IF(D7=0,0,(Données!$C$33*1.16*'BdD Bâtiment'!$I$28*45*1/1000)/2)</f>
        <v>0</v>
      </c>
      <c r="E12" s="314">
        <f>IF(E7=0,0,(Données!$C$33*1.16*'BdD Bâtiment'!$I$28*45*1/1000)/2)</f>
        <v>0</v>
      </c>
      <c r="F12" s="314">
        <f>IF(F7=0,0,(Données!$C$33*1.16*'BdD Bâtiment'!$I$28*45*1/1000)/2)</f>
        <v>0</v>
      </c>
      <c r="G12" s="314">
        <f>IF(G7=0,0,(Données!$C$33*1.16*'BdD Bâtiment'!$I$28*45*1/1000)/2)</f>
        <v>0</v>
      </c>
      <c r="H12" s="314">
        <f>IF(H7=0,0,(Données!$C$33*1.16*'BdD Bâtiment'!$I$28*45*1/1000)/2)</f>
        <v>0</v>
      </c>
      <c r="I12" s="314">
        <f>IF(I7=0,0,(Données!$C$33*1.16*'BdD Bâtiment'!$I$28*45*1/1000)/2)</f>
        <v>0</v>
      </c>
      <c r="J12" s="314">
        <f>IF(J7=0,0,(Données!$C$33*1.16*'BdD Bâtiment'!$I$28*45*1/1000)/2)</f>
        <v>0</v>
      </c>
      <c r="K12" s="314">
        <f>IF(K7=0,0,(Données!$C$33*1.16*'BdD Bâtiment'!$I$28*45*1/1000)/2)</f>
        <v>0</v>
      </c>
      <c r="L12" s="314">
        <f>IF(L7=0,0,(Données!$C$33*1.16*'BdD Bâtiment'!$I$28*45*1/1000)/2)</f>
        <v>0</v>
      </c>
      <c r="M12" s="314">
        <f>IF(M7=0,0,(Données!$C$33*1.16*'BdD Bâtiment'!$I$28*45*1/1000)/2)</f>
        <v>0</v>
      </c>
      <c r="N12" s="314">
        <f>IF(N7=0,0,(Données!$C$33*1.16*'BdD Bâtiment'!$I$28*45*1/1000)/2)</f>
        <v>5.2199999999999989</v>
      </c>
      <c r="O12" s="314">
        <f>IF(O7=0,0,(Données!$C$33*1.16*'BdD Bâtiment'!$I$28*45*1/1000)/2)</f>
        <v>5.2199999999999989</v>
      </c>
      <c r="P12" s="314">
        <f>IF(P7=0,0,(Données!$C$33*1.16*'BdD Bâtiment'!$I$28*45*1/1000)/2)</f>
        <v>5.2199999999999989</v>
      </c>
      <c r="Q12" s="314">
        <f>IF(Q7=0,0,(Données!$C$33*1.16*'BdD Bâtiment'!$I$28*45*1/1000)/2)</f>
        <v>5.2199999999999989</v>
      </c>
      <c r="R12" s="314">
        <f>IF(R7=0,0,(Données!$C$33*1.16*'BdD Bâtiment'!$I$28*45*1/1000)/2)</f>
        <v>5.2199999999999989</v>
      </c>
      <c r="S12" s="314">
        <f>IF(S7=0,0,(Données!$C$33*1.16*'BdD Bâtiment'!$I$28*45*1/1000)/2)</f>
        <v>5.2199999999999989</v>
      </c>
      <c r="T12" s="314">
        <f>IF(T7=0,0,(Données!$C$33*1.16*'BdD Bâtiment'!$I$28*45*1/1000)/2)</f>
        <v>5.2199999999999989</v>
      </c>
      <c r="U12" s="314">
        <f>IF(U7=0,0,(Données!$C$33*1.16*'BdD Bâtiment'!$I$28*45*1/1000)/2)</f>
        <v>5.2199999999999989</v>
      </c>
      <c r="V12" s="314">
        <f>IF(V7=0,0,(Données!$C$33*1.16*'BdD Bâtiment'!$I$28*45*1/1000)/2)</f>
        <v>5.2199999999999989</v>
      </c>
      <c r="W12" s="314">
        <f>IF(W7=0,0,(Données!$C$33*1.16*'BdD Bâtiment'!$I$28*45*1/1000)/2)</f>
        <v>5.2199999999999989</v>
      </c>
      <c r="X12" s="314">
        <f>IF(X7=0,0,(Données!$C$33*1.16*'BdD Bâtiment'!$I$28*45*1/1000)/2)</f>
        <v>5.2199999999999989</v>
      </c>
      <c r="Y12" s="314">
        <f>IF(Y7=0,0,(Données!$C$33*1.16*'BdD Bâtiment'!$I$28*45*1/1000)/2)</f>
        <v>5.2199999999999989</v>
      </c>
      <c r="Z12" s="314">
        <f>IF(Z7=0,0,(Données!$C$33*1.16*'BdD Bâtiment'!$I$28*45*1/1000)/2)</f>
        <v>5.2199999999999989</v>
      </c>
      <c r="AA12" s="314">
        <f>IF(AA7=0,0,(Données!$C$33*1.16*'BdD Bâtiment'!$I$28*45*1/1000)/2)</f>
        <v>5.2199999999999989</v>
      </c>
      <c r="AB12" s="314">
        <f>IF(AB7=0,0,(Données!$C$33*1.16*'BdD Bâtiment'!$I$28*45*1/1000)/2)</f>
        <v>5.2199999999999989</v>
      </c>
      <c r="AC12" s="314">
        <f>IF(AC7=0,0,(Données!$C$33*1.16*'BdD Bâtiment'!$I$28*45*1/1000)/2)</f>
        <v>5.2199999999999989</v>
      </c>
      <c r="AD12" s="314">
        <f>IF(AD7=0,0,(Données!$C$33*1.16*'BdD Bâtiment'!$I$28*45*1/1000)/2)</f>
        <v>5.2199999999999989</v>
      </c>
      <c r="AE12" s="314">
        <f>IF(AE7=0,0,(Données!$C$33*1.16*'BdD Bâtiment'!$I$28*45*1/1000)/2)</f>
        <v>5.2199999999999989</v>
      </c>
      <c r="AF12" s="314">
        <f>IF(AF7=0,0,(Données!$C$33*1.16*'BdD Bâtiment'!$I$28*45*1/1000)/2)</f>
        <v>5.2199999999999989</v>
      </c>
      <c r="AG12" s="314">
        <f>IF(AG7=0,0,(Données!$C$33*1.16*'BdD Bâtiment'!$I$28*45*1/1000)/2)</f>
        <v>5.2199999999999989</v>
      </c>
      <c r="AH12" s="314">
        <f>IF(AH7=0,0,(Données!$C$33*1.16*'BdD Bâtiment'!$I$28*45*1/1000)/2)</f>
        <v>5.2199999999999989</v>
      </c>
      <c r="AI12" s="314">
        <f>IF(AI7=0,0,(Données!$C$33*1.16*'BdD Bâtiment'!$I$28*45*1/1000)/2)</f>
        <v>5.2199999999999989</v>
      </c>
      <c r="AJ12" s="314">
        <f>IF(AJ7=0,0,(Données!$C$33*1.16*'BdD Bâtiment'!$I$28*45*1/1000)/2)</f>
        <v>5.2199999999999989</v>
      </c>
      <c r="AK12" s="314">
        <f>IF(AK7=0,0,(Données!$C$33*1.16*'BdD Bâtiment'!$I$28*45*1/1000)/2)</f>
        <v>5.2199999999999989</v>
      </c>
      <c r="AL12" s="314">
        <f>IF(AL7=0,0,(Données!$C$33*1.16*'BdD Bâtiment'!$I$28*45*1/1000)/2)</f>
        <v>5.2199999999999989</v>
      </c>
      <c r="AM12" s="314">
        <f>IF(AM7=0,0,(Données!$C$33*1.16*'BdD Bâtiment'!$I$28*45*1/1000)/2)</f>
        <v>5.2199999999999989</v>
      </c>
      <c r="AN12" s="314">
        <f>IF(AN7=0,0,(Données!$C$33*1.16*'BdD Bâtiment'!$I$28*45*1/1000)/2)</f>
        <v>5.2199999999999989</v>
      </c>
      <c r="AO12" s="314">
        <f>IF(AO7=0,0,(Données!$C$33*1.16*'BdD Bâtiment'!$I$28*45*1/1000)/2)</f>
        <v>5.2199999999999989</v>
      </c>
      <c r="AP12" s="314">
        <f>IF(AP7=0,0,(Données!$C$33*1.16*'BdD Bâtiment'!$I$28*45*1/1000)/2)</f>
        <v>5.2199999999999989</v>
      </c>
      <c r="AQ12" s="314">
        <f>IF(AQ7=0,0,(Données!$C$33*1.16*'BdD Bâtiment'!$I$28*45*1/1000)/2)</f>
        <v>5.2199999999999989</v>
      </c>
      <c r="AR12" s="314">
        <f>IF(AR7=0,0,(Données!$C$33*1.16*'BdD Bâtiment'!$I$28*45*1/1000)/2)</f>
        <v>5.2199999999999989</v>
      </c>
      <c r="AS12" s="314">
        <f>IF(AS7=0,0,(Données!$C$33*1.16*'BdD Bâtiment'!$I$28*45*1/1000)/2)</f>
        <v>5.2199999999999989</v>
      </c>
      <c r="AT12" s="314">
        <f>IF(AT7=0,0,(Données!$C$33*1.16*'BdD Bâtiment'!$I$28*45*1/1000)/2)</f>
        <v>5.2199999999999989</v>
      </c>
      <c r="AU12" s="314">
        <f>IF(AU7=0,0,(Données!$C$33*1.16*'BdD Bâtiment'!$I$28*45*1/1000)/2)</f>
        <v>5.2199999999999989</v>
      </c>
      <c r="AV12" s="314">
        <f>IF(AV7=0,0,(Données!$C$33*1.16*'BdD Bâtiment'!$I$28*45*1/1000)/2)</f>
        <v>5.2199999999999989</v>
      </c>
      <c r="AW12" s="314">
        <f>IF(AW7=0,0,(Données!$C$33*1.16*'BdD Bâtiment'!$I$28*45*1/1000)/2)</f>
        <v>5.2199999999999989</v>
      </c>
      <c r="AX12" s="314">
        <f>IF(AX7=0,0,(Données!$C$33*1.16*'BdD Bâtiment'!$I$28*45*1/1000)/2)</f>
        <v>5.2199999999999989</v>
      </c>
      <c r="AY12" s="314">
        <f>IF(AY7=0,0,(Données!$C$33*1.16*'BdD Bâtiment'!$I$28*45*1/1000)/2)</f>
        <v>5.2199999999999989</v>
      </c>
      <c r="AZ12" s="314">
        <f>IF(AZ7=0,0,(Données!$C$33*1.16*'BdD Bâtiment'!$I$28*45*1/1000)/2)</f>
        <v>5.2199999999999989</v>
      </c>
      <c r="BA12" s="314">
        <f>IF(BA7=0,0,(Données!$C$33*1.16*'BdD Bâtiment'!$I$28*45*1/1000)/2)</f>
        <v>5.2199999999999989</v>
      </c>
      <c r="BB12" s="314">
        <f>IF(BB7=0,0,(Données!$C$33*1.16*'BdD Bâtiment'!$I$28*45*1/1000)/2)</f>
        <v>5.2199999999999989</v>
      </c>
      <c r="BC12" s="314">
        <f>IF(BC7=0,0,(Données!$C$33*1.16*'BdD Bâtiment'!$I$28*45*1/1000)/2)</f>
        <v>5.2199999999999989</v>
      </c>
      <c r="BD12" s="314">
        <f>IF(BD7=0,0,(Données!$C$33*1.16*'BdD Bâtiment'!$I$28*45*1/1000)/2)</f>
        <v>5.2199999999999989</v>
      </c>
      <c r="BE12" s="314">
        <f>IF(BE7=0,0,(Données!$C$33*1.16*'BdD Bâtiment'!$I$28*45*1/1000)/2)</f>
        <v>0</v>
      </c>
      <c r="BF12" s="314">
        <f>IF(BF7=0,0,(Données!$C$33*1.16*'BdD Bâtiment'!$I$28*45*1/1000)/2)</f>
        <v>0</v>
      </c>
      <c r="BG12" s="314">
        <f>IF(BG7=0,0,(Données!$C$33*1.16*'BdD Bâtiment'!$I$28*45*1/1000)/2)</f>
        <v>0</v>
      </c>
      <c r="BH12" s="315">
        <f>IF(BH7=0,0,(Données!$C$33*1.16*'BdD Bâtiment'!$I$28*45*1/1000)/2)</f>
        <v>0</v>
      </c>
      <c r="BI12" s="318" t="s">
        <v>664</v>
      </c>
    </row>
    <row r="13" spans="1:63" s="190" customFormat="1" x14ac:dyDescent="0.2">
      <c r="A13" s="289" t="s">
        <v>649</v>
      </c>
      <c r="B13" s="252">
        <f>IF(B12=0,0,IF(B11/B12&gt;1,1,B11/B12))</f>
        <v>0</v>
      </c>
      <c r="C13" s="252">
        <f t="shared" ref="C13:BH13" si="1">IF(C12=0,0,IF(C11/C12&gt;1,1,C11/C12))</f>
        <v>0</v>
      </c>
      <c r="D13" s="252">
        <f t="shared" si="1"/>
        <v>0</v>
      </c>
      <c r="E13" s="252">
        <f t="shared" si="1"/>
        <v>0</v>
      </c>
      <c r="F13" s="252">
        <f t="shared" si="1"/>
        <v>0</v>
      </c>
      <c r="G13" s="252">
        <f t="shared" si="1"/>
        <v>0</v>
      </c>
      <c r="H13" s="252">
        <f t="shared" si="1"/>
        <v>0</v>
      </c>
      <c r="I13" s="252">
        <f t="shared" si="1"/>
        <v>0</v>
      </c>
      <c r="J13" s="252">
        <f t="shared" si="1"/>
        <v>0</v>
      </c>
      <c r="K13" s="252">
        <f t="shared" si="1"/>
        <v>0</v>
      </c>
      <c r="L13" s="252">
        <f t="shared" si="1"/>
        <v>0</v>
      </c>
      <c r="M13" s="252">
        <f t="shared" si="1"/>
        <v>0</v>
      </c>
      <c r="N13" s="252">
        <f>IF(N12=0,0,IF(N11/N12&gt;1,1,N11/N12))</f>
        <v>0.9041666666666669</v>
      </c>
      <c r="O13" s="252">
        <f t="shared" si="1"/>
        <v>0.9041666666666669</v>
      </c>
      <c r="P13" s="252">
        <f t="shared" si="1"/>
        <v>0.9041666666666669</v>
      </c>
      <c r="Q13" s="252">
        <f t="shared" si="1"/>
        <v>0.9041666666666669</v>
      </c>
      <c r="R13" s="252">
        <f t="shared" si="1"/>
        <v>0.9041666666666669</v>
      </c>
      <c r="S13" s="252">
        <f t="shared" si="1"/>
        <v>0.9041666666666669</v>
      </c>
      <c r="T13" s="252">
        <f t="shared" si="1"/>
        <v>0.9041666666666669</v>
      </c>
      <c r="U13" s="252">
        <f t="shared" si="1"/>
        <v>0.9041666666666669</v>
      </c>
      <c r="V13" s="252">
        <f t="shared" si="1"/>
        <v>0.9041666666666669</v>
      </c>
      <c r="W13" s="252">
        <f t="shared" si="1"/>
        <v>0.9041666666666669</v>
      </c>
      <c r="X13" s="252">
        <f t="shared" si="1"/>
        <v>0.9041666666666669</v>
      </c>
      <c r="Y13" s="252">
        <f t="shared" si="1"/>
        <v>0.9041666666666669</v>
      </c>
      <c r="Z13" s="252">
        <f t="shared" si="1"/>
        <v>0.9041666666666669</v>
      </c>
      <c r="AA13" s="252">
        <f t="shared" si="1"/>
        <v>0.9041666666666669</v>
      </c>
      <c r="AB13" s="252">
        <f t="shared" si="1"/>
        <v>0.9041666666666669</v>
      </c>
      <c r="AC13" s="252">
        <f t="shared" si="1"/>
        <v>0.9041666666666669</v>
      </c>
      <c r="AD13" s="252">
        <f t="shared" si="1"/>
        <v>0.9041666666666669</v>
      </c>
      <c r="AE13" s="252">
        <f t="shared" si="1"/>
        <v>0.9041666666666669</v>
      </c>
      <c r="AF13" s="252">
        <f t="shared" si="1"/>
        <v>0.9041666666666669</v>
      </c>
      <c r="AG13" s="252">
        <f t="shared" si="1"/>
        <v>0.9041666666666669</v>
      </c>
      <c r="AH13" s="252">
        <f t="shared" si="1"/>
        <v>0.9041666666666669</v>
      </c>
      <c r="AI13" s="252">
        <f t="shared" si="1"/>
        <v>0.9041666666666669</v>
      </c>
      <c r="AJ13" s="252">
        <f t="shared" si="1"/>
        <v>0.9041666666666669</v>
      </c>
      <c r="AK13" s="252">
        <f t="shared" si="1"/>
        <v>0.9041666666666669</v>
      </c>
      <c r="AL13" s="252">
        <f t="shared" si="1"/>
        <v>0.9041666666666669</v>
      </c>
      <c r="AM13" s="252">
        <f t="shared" si="1"/>
        <v>0.9041666666666669</v>
      </c>
      <c r="AN13" s="252">
        <f t="shared" si="1"/>
        <v>0.9041666666666669</v>
      </c>
      <c r="AO13" s="252">
        <f t="shared" si="1"/>
        <v>0.9041666666666669</v>
      </c>
      <c r="AP13" s="252">
        <f t="shared" si="1"/>
        <v>0.9041666666666669</v>
      </c>
      <c r="AQ13" s="252">
        <f t="shared" si="1"/>
        <v>0.9041666666666669</v>
      </c>
      <c r="AR13" s="252">
        <f t="shared" si="1"/>
        <v>0.9041666666666669</v>
      </c>
      <c r="AS13" s="252">
        <f t="shared" si="1"/>
        <v>0.9041666666666669</v>
      </c>
      <c r="AT13" s="252">
        <f t="shared" si="1"/>
        <v>0.9041666666666669</v>
      </c>
      <c r="AU13" s="252">
        <f t="shared" si="1"/>
        <v>0.9041666666666669</v>
      </c>
      <c r="AV13" s="252">
        <f t="shared" si="1"/>
        <v>0.9041666666666669</v>
      </c>
      <c r="AW13" s="252">
        <f t="shared" si="1"/>
        <v>0.9041666666666669</v>
      </c>
      <c r="AX13" s="252">
        <f t="shared" si="1"/>
        <v>0.9041666666666669</v>
      </c>
      <c r="AY13" s="252">
        <f t="shared" si="1"/>
        <v>0.9041666666666669</v>
      </c>
      <c r="AZ13" s="252">
        <f t="shared" si="1"/>
        <v>0.9041666666666669</v>
      </c>
      <c r="BA13" s="252">
        <f t="shared" si="1"/>
        <v>0.9041666666666669</v>
      </c>
      <c r="BB13" s="252">
        <f t="shared" si="1"/>
        <v>0.9041666666666669</v>
      </c>
      <c r="BC13" s="252">
        <f t="shared" si="1"/>
        <v>0.9041666666666669</v>
      </c>
      <c r="BD13" s="252">
        <f t="shared" si="1"/>
        <v>0.9041666666666669</v>
      </c>
      <c r="BE13" s="252">
        <f t="shared" si="1"/>
        <v>0</v>
      </c>
      <c r="BF13" s="252">
        <f t="shared" si="1"/>
        <v>0</v>
      </c>
      <c r="BG13" s="252">
        <f t="shared" si="1"/>
        <v>0</v>
      </c>
      <c r="BH13" s="313">
        <f t="shared" si="1"/>
        <v>0</v>
      </c>
      <c r="BI13" s="258"/>
    </row>
    <row r="14" spans="1:63" s="190" customFormat="1" x14ac:dyDescent="0.2">
      <c r="A14" s="338" t="s">
        <v>651</v>
      </c>
      <c r="B14" s="374">
        <f>B12*B13</f>
        <v>0</v>
      </c>
      <c r="C14" s="374">
        <f t="shared" ref="C14:BH14" si="2">C12*C13</f>
        <v>0</v>
      </c>
      <c r="D14" s="374">
        <f t="shared" si="2"/>
        <v>0</v>
      </c>
      <c r="E14" s="374">
        <f t="shared" si="2"/>
        <v>0</v>
      </c>
      <c r="F14" s="374">
        <f t="shared" si="2"/>
        <v>0</v>
      </c>
      <c r="G14" s="374">
        <f t="shared" si="2"/>
        <v>0</v>
      </c>
      <c r="H14" s="374">
        <f t="shared" si="2"/>
        <v>0</v>
      </c>
      <c r="I14" s="374">
        <f t="shared" si="2"/>
        <v>0</v>
      </c>
      <c r="J14" s="374">
        <f t="shared" si="2"/>
        <v>0</v>
      </c>
      <c r="K14" s="374">
        <f t="shared" si="2"/>
        <v>0</v>
      </c>
      <c r="L14" s="374">
        <f t="shared" si="2"/>
        <v>0</v>
      </c>
      <c r="M14" s="374">
        <f t="shared" si="2"/>
        <v>0</v>
      </c>
      <c r="N14" s="374">
        <f t="shared" si="2"/>
        <v>4.7197500000000003</v>
      </c>
      <c r="O14" s="374">
        <f t="shared" si="2"/>
        <v>4.7197500000000003</v>
      </c>
      <c r="P14" s="374">
        <f t="shared" si="2"/>
        <v>4.7197500000000003</v>
      </c>
      <c r="Q14" s="374">
        <f t="shared" si="2"/>
        <v>4.7197500000000003</v>
      </c>
      <c r="R14" s="374">
        <f t="shared" si="2"/>
        <v>4.7197500000000003</v>
      </c>
      <c r="S14" s="374">
        <f t="shared" si="2"/>
        <v>4.7197500000000003</v>
      </c>
      <c r="T14" s="374">
        <f t="shared" si="2"/>
        <v>4.7197500000000003</v>
      </c>
      <c r="U14" s="374">
        <f t="shared" si="2"/>
        <v>4.7197500000000003</v>
      </c>
      <c r="V14" s="374">
        <f t="shared" si="2"/>
        <v>4.7197500000000003</v>
      </c>
      <c r="W14" s="374">
        <f t="shared" si="2"/>
        <v>4.7197500000000003</v>
      </c>
      <c r="X14" s="374">
        <f t="shared" si="2"/>
        <v>4.7197500000000003</v>
      </c>
      <c r="Y14" s="374">
        <f t="shared" si="2"/>
        <v>4.7197500000000003</v>
      </c>
      <c r="Z14" s="374">
        <f t="shared" si="2"/>
        <v>4.7197500000000003</v>
      </c>
      <c r="AA14" s="374">
        <f t="shared" si="2"/>
        <v>4.7197500000000003</v>
      </c>
      <c r="AB14" s="374">
        <f t="shared" si="2"/>
        <v>4.7197500000000003</v>
      </c>
      <c r="AC14" s="374">
        <f t="shared" si="2"/>
        <v>4.7197500000000003</v>
      </c>
      <c r="AD14" s="374">
        <f t="shared" si="2"/>
        <v>4.7197500000000003</v>
      </c>
      <c r="AE14" s="374">
        <f t="shared" si="2"/>
        <v>4.7197500000000003</v>
      </c>
      <c r="AF14" s="374">
        <f t="shared" si="2"/>
        <v>4.7197500000000003</v>
      </c>
      <c r="AG14" s="374">
        <f t="shared" si="2"/>
        <v>4.7197500000000003</v>
      </c>
      <c r="AH14" s="374">
        <f t="shared" si="2"/>
        <v>4.7197500000000003</v>
      </c>
      <c r="AI14" s="374">
        <f t="shared" si="2"/>
        <v>4.7197500000000003</v>
      </c>
      <c r="AJ14" s="374">
        <f t="shared" si="2"/>
        <v>4.7197500000000003</v>
      </c>
      <c r="AK14" s="374">
        <f t="shared" si="2"/>
        <v>4.7197500000000003</v>
      </c>
      <c r="AL14" s="374">
        <f t="shared" si="2"/>
        <v>4.7197500000000003</v>
      </c>
      <c r="AM14" s="374">
        <f t="shared" si="2"/>
        <v>4.7197500000000003</v>
      </c>
      <c r="AN14" s="374">
        <f t="shared" si="2"/>
        <v>4.7197500000000003</v>
      </c>
      <c r="AO14" s="374">
        <f t="shared" si="2"/>
        <v>4.7197500000000003</v>
      </c>
      <c r="AP14" s="374">
        <f t="shared" si="2"/>
        <v>4.7197500000000003</v>
      </c>
      <c r="AQ14" s="374">
        <f t="shared" si="2"/>
        <v>4.7197500000000003</v>
      </c>
      <c r="AR14" s="374">
        <f t="shared" si="2"/>
        <v>4.7197500000000003</v>
      </c>
      <c r="AS14" s="374">
        <f t="shared" si="2"/>
        <v>4.7197500000000003</v>
      </c>
      <c r="AT14" s="374">
        <f t="shared" si="2"/>
        <v>4.7197500000000003</v>
      </c>
      <c r="AU14" s="374">
        <f t="shared" si="2"/>
        <v>4.7197500000000003</v>
      </c>
      <c r="AV14" s="374">
        <f t="shared" si="2"/>
        <v>4.7197500000000003</v>
      </c>
      <c r="AW14" s="374">
        <f t="shared" si="2"/>
        <v>4.7197500000000003</v>
      </c>
      <c r="AX14" s="374">
        <f t="shared" si="2"/>
        <v>4.7197500000000003</v>
      </c>
      <c r="AY14" s="374">
        <f t="shared" si="2"/>
        <v>4.7197500000000003</v>
      </c>
      <c r="AZ14" s="374">
        <f t="shared" si="2"/>
        <v>4.7197500000000003</v>
      </c>
      <c r="BA14" s="374">
        <f t="shared" si="2"/>
        <v>4.7197500000000003</v>
      </c>
      <c r="BB14" s="374">
        <f t="shared" si="2"/>
        <v>4.7197500000000003</v>
      </c>
      <c r="BC14" s="374">
        <f t="shared" si="2"/>
        <v>4.7197500000000003</v>
      </c>
      <c r="BD14" s="374">
        <f t="shared" si="2"/>
        <v>4.7197500000000003</v>
      </c>
      <c r="BE14" s="374">
        <f t="shared" si="2"/>
        <v>0</v>
      </c>
      <c r="BF14" s="374">
        <f t="shared" si="2"/>
        <v>0</v>
      </c>
      <c r="BG14" s="374">
        <f t="shared" si="2"/>
        <v>0</v>
      </c>
      <c r="BH14" s="375">
        <f t="shared" si="2"/>
        <v>0</v>
      </c>
      <c r="BI14" s="258"/>
    </row>
    <row r="15" spans="1:63" s="190" customFormat="1" ht="13.5" thickBot="1" x14ac:dyDescent="0.25">
      <c r="A15" s="296" t="s">
        <v>635</v>
      </c>
      <c r="B15" s="316">
        <f>B12-B14</f>
        <v>0</v>
      </c>
      <c r="C15" s="316">
        <f t="shared" ref="C15:BH15" si="3">C12-C14</f>
        <v>0</v>
      </c>
      <c r="D15" s="316">
        <f t="shared" si="3"/>
        <v>0</v>
      </c>
      <c r="E15" s="316">
        <f t="shared" si="3"/>
        <v>0</v>
      </c>
      <c r="F15" s="316">
        <f t="shared" si="3"/>
        <v>0</v>
      </c>
      <c r="G15" s="316">
        <f t="shared" si="3"/>
        <v>0</v>
      </c>
      <c r="H15" s="316">
        <f t="shared" si="3"/>
        <v>0</v>
      </c>
      <c r="I15" s="316">
        <f t="shared" si="3"/>
        <v>0</v>
      </c>
      <c r="J15" s="316">
        <f t="shared" si="3"/>
        <v>0</v>
      </c>
      <c r="K15" s="316">
        <f t="shared" si="3"/>
        <v>0</v>
      </c>
      <c r="L15" s="316">
        <f t="shared" si="3"/>
        <v>0</v>
      </c>
      <c r="M15" s="316">
        <f t="shared" si="3"/>
        <v>0</v>
      </c>
      <c r="N15" s="316">
        <f t="shared" si="3"/>
        <v>0.50024999999999853</v>
      </c>
      <c r="O15" s="316">
        <f t="shared" si="3"/>
        <v>0.50024999999999853</v>
      </c>
      <c r="P15" s="316">
        <f t="shared" si="3"/>
        <v>0.50024999999999853</v>
      </c>
      <c r="Q15" s="316">
        <f t="shared" si="3"/>
        <v>0.50024999999999853</v>
      </c>
      <c r="R15" s="316">
        <f t="shared" si="3"/>
        <v>0.50024999999999853</v>
      </c>
      <c r="S15" s="316">
        <f t="shared" si="3"/>
        <v>0.50024999999999853</v>
      </c>
      <c r="T15" s="316">
        <f t="shared" si="3"/>
        <v>0.50024999999999853</v>
      </c>
      <c r="U15" s="316">
        <f t="shared" si="3"/>
        <v>0.50024999999999853</v>
      </c>
      <c r="V15" s="316">
        <f t="shared" si="3"/>
        <v>0.50024999999999853</v>
      </c>
      <c r="W15" s="316">
        <f t="shared" si="3"/>
        <v>0.50024999999999853</v>
      </c>
      <c r="X15" s="316">
        <f t="shared" si="3"/>
        <v>0.50024999999999853</v>
      </c>
      <c r="Y15" s="316">
        <f t="shared" si="3"/>
        <v>0.50024999999999853</v>
      </c>
      <c r="Z15" s="316">
        <f t="shared" si="3"/>
        <v>0.50024999999999853</v>
      </c>
      <c r="AA15" s="316">
        <f t="shared" si="3"/>
        <v>0.50024999999999853</v>
      </c>
      <c r="AB15" s="316">
        <f t="shared" si="3"/>
        <v>0.50024999999999853</v>
      </c>
      <c r="AC15" s="316">
        <f t="shared" si="3"/>
        <v>0.50024999999999853</v>
      </c>
      <c r="AD15" s="316">
        <f t="shared" si="3"/>
        <v>0.50024999999999853</v>
      </c>
      <c r="AE15" s="316">
        <f t="shared" si="3"/>
        <v>0.50024999999999853</v>
      </c>
      <c r="AF15" s="316">
        <f t="shared" si="3"/>
        <v>0.50024999999999853</v>
      </c>
      <c r="AG15" s="316">
        <f t="shared" si="3"/>
        <v>0.50024999999999853</v>
      </c>
      <c r="AH15" s="316">
        <f t="shared" si="3"/>
        <v>0.50024999999999853</v>
      </c>
      <c r="AI15" s="316">
        <f t="shared" si="3"/>
        <v>0.50024999999999853</v>
      </c>
      <c r="AJ15" s="316">
        <f t="shared" si="3"/>
        <v>0.50024999999999853</v>
      </c>
      <c r="AK15" s="316">
        <f t="shared" si="3"/>
        <v>0.50024999999999853</v>
      </c>
      <c r="AL15" s="316">
        <f t="shared" si="3"/>
        <v>0.50024999999999853</v>
      </c>
      <c r="AM15" s="316">
        <f t="shared" si="3"/>
        <v>0.50024999999999853</v>
      </c>
      <c r="AN15" s="316">
        <f t="shared" si="3"/>
        <v>0.50024999999999853</v>
      </c>
      <c r="AO15" s="316">
        <f t="shared" si="3"/>
        <v>0.50024999999999853</v>
      </c>
      <c r="AP15" s="316">
        <f t="shared" si="3"/>
        <v>0.50024999999999853</v>
      </c>
      <c r="AQ15" s="316">
        <f t="shared" si="3"/>
        <v>0.50024999999999853</v>
      </c>
      <c r="AR15" s="316">
        <f t="shared" si="3"/>
        <v>0.50024999999999853</v>
      </c>
      <c r="AS15" s="316">
        <f t="shared" si="3"/>
        <v>0.50024999999999853</v>
      </c>
      <c r="AT15" s="316">
        <f t="shared" si="3"/>
        <v>0.50024999999999853</v>
      </c>
      <c r="AU15" s="316">
        <f t="shared" si="3"/>
        <v>0.50024999999999853</v>
      </c>
      <c r="AV15" s="316">
        <f t="shared" si="3"/>
        <v>0.50024999999999853</v>
      </c>
      <c r="AW15" s="316">
        <f t="shared" si="3"/>
        <v>0.50024999999999853</v>
      </c>
      <c r="AX15" s="316">
        <f t="shared" si="3"/>
        <v>0.50024999999999853</v>
      </c>
      <c r="AY15" s="316">
        <f t="shared" si="3"/>
        <v>0.50024999999999853</v>
      </c>
      <c r="AZ15" s="316">
        <f t="shared" si="3"/>
        <v>0.50024999999999853</v>
      </c>
      <c r="BA15" s="316">
        <f t="shared" si="3"/>
        <v>0.50024999999999853</v>
      </c>
      <c r="BB15" s="316">
        <f t="shared" si="3"/>
        <v>0.50024999999999853</v>
      </c>
      <c r="BC15" s="316">
        <f t="shared" si="3"/>
        <v>0.50024999999999853</v>
      </c>
      <c r="BD15" s="316">
        <f t="shared" si="3"/>
        <v>0.50024999999999853</v>
      </c>
      <c r="BE15" s="316">
        <f t="shared" si="3"/>
        <v>0</v>
      </c>
      <c r="BF15" s="316">
        <f t="shared" si="3"/>
        <v>0</v>
      </c>
      <c r="BG15" s="316">
        <f t="shared" si="3"/>
        <v>0</v>
      </c>
      <c r="BH15" s="317">
        <f t="shared" si="3"/>
        <v>0</v>
      </c>
      <c r="BI15" s="258"/>
    </row>
    <row r="16" spans="1:63" s="190" customFormat="1" x14ac:dyDescent="0.2">
      <c r="A16" s="309" t="s">
        <v>640</v>
      </c>
      <c r="B16" s="269">
        <f>B13*B10</f>
        <v>0</v>
      </c>
      <c r="C16" s="269">
        <f t="shared" ref="C16:BH16" si="4">C13*C10</f>
        <v>0</v>
      </c>
      <c r="D16" s="269">
        <f t="shared" si="4"/>
        <v>0</v>
      </c>
      <c r="E16" s="269">
        <f t="shared" si="4"/>
        <v>0</v>
      </c>
      <c r="F16" s="269">
        <f t="shared" si="4"/>
        <v>0</v>
      </c>
      <c r="G16" s="269">
        <f t="shared" si="4"/>
        <v>0</v>
      </c>
      <c r="H16" s="269">
        <f t="shared" si="4"/>
        <v>0</v>
      </c>
      <c r="I16" s="269">
        <f t="shared" si="4"/>
        <v>0</v>
      </c>
      <c r="J16" s="269">
        <f t="shared" si="4"/>
        <v>0</v>
      </c>
      <c r="K16" s="269">
        <f t="shared" si="4"/>
        <v>0</v>
      </c>
      <c r="L16" s="269">
        <f t="shared" si="4"/>
        <v>0</v>
      </c>
      <c r="M16" s="269">
        <f t="shared" si="4"/>
        <v>0</v>
      </c>
      <c r="N16" s="269">
        <f>N13*N10</f>
        <v>0.94395000000000007</v>
      </c>
      <c r="O16" s="269">
        <f t="shared" si="4"/>
        <v>1.4159250000000003</v>
      </c>
      <c r="P16" s="269">
        <f t="shared" si="4"/>
        <v>0.94395000000000007</v>
      </c>
      <c r="Q16" s="269">
        <f t="shared" si="4"/>
        <v>1.4159250000000003</v>
      </c>
      <c r="R16" s="269">
        <f t="shared" si="4"/>
        <v>3.3038249999999998</v>
      </c>
      <c r="S16" s="269">
        <f t="shared" si="4"/>
        <v>4.7197500000000003</v>
      </c>
      <c r="T16" s="269">
        <f t="shared" si="4"/>
        <v>7.5516000000000005</v>
      </c>
      <c r="U16" s="269">
        <f t="shared" si="4"/>
        <v>15.575175</v>
      </c>
      <c r="V16" s="269">
        <f t="shared" si="4"/>
        <v>22.654800000000005</v>
      </c>
      <c r="W16" s="269">
        <f t="shared" si="4"/>
        <v>32.094300000000004</v>
      </c>
      <c r="X16" s="269">
        <f t="shared" si="4"/>
        <v>33.510224999999998</v>
      </c>
      <c r="Y16" s="269">
        <f t="shared" si="4"/>
        <v>59.940824999999997</v>
      </c>
      <c r="Z16" s="269">
        <f t="shared" si="4"/>
        <v>64.660574999999994</v>
      </c>
      <c r="AA16" s="269">
        <f t="shared" si="4"/>
        <v>79.763774999999995</v>
      </c>
      <c r="AB16" s="269">
        <f t="shared" si="4"/>
        <v>92.507100000000008</v>
      </c>
      <c r="AC16" s="269">
        <f t="shared" si="4"/>
        <v>97.698824999999999</v>
      </c>
      <c r="AD16" s="269">
        <f t="shared" si="4"/>
        <v>112.802025</v>
      </c>
      <c r="AE16" s="269">
        <f t="shared" si="4"/>
        <v>134.51287500000001</v>
      </c>
      <c r="AF16" s="269">
        <f t="shared" si="4"/>
        <v>148.67212500000002</v>
      </c>
      <c r="AG16" s="269">
        <f t="shared" si="4"/>
        <v>140.64855000000003</v>
      </c>
      <c r="AH16" s="269">
        <f t="shared" si="4"/>
        <v>151.50397500000003</v>
      </c>
      <c r="AI16" s="269">
        <f t="shared" si="4"/>
        <v>149.14410000000001</v>
      </c>
      <c r="AJ16" s="269">
        <f>AJ13*AJ10</f>
        <v>146.31225000000001</v>
      </c>
      <c r="AK16" s="269">
        <f t="shared" si="4"/>
        <v>145.84027500000002</v>
      </c>
      <c r="AL16" s="269">
        <f t="shared" si="4"/>
        <v>140.17657500000001</v>
      </c>
      <c r="AM16" s="269">
        <f t="shared" si="4"/>
        <v>129.32114999999999</v>
      </c>
      <c r="AN16" s="269">
        <f t="shared" si="4"/>
        <v>139.23262500000001</v>
      </c>
      <c r="AO16" s="269">
        <f t="shared" si="4"/>
        <v>157.63965000000002</v>
      </c>
      <c r="AP16" s="269">
        <f t="shared" si="4"/>
        <v>162.83137500000001</v>
      </c>
      <c r="AQ16" s="269">
        <f t="shared" si="4"/>
        <v>154.335825</v>
      </c>
      <c r="AR16" s="269">
        <f t="shared" si="4"/>
        <v>167.55112500000001</v>
      </c>
      <c r="AS16" s="269">
        <f t="shared" si="4"/>
        <v>153.86385000000001</v>
      </c>
      <c r="AT16" s="269">
        <f t="shared" si="4"/>
        <v>136.40077500000001</v>
      </c>
      <c r="AU16" s="269">
        <f t="shared" si="4"/>
        <v>109.4982</v>
      </c>
      <c r="AV16" s="269">
        <f t="shared" si="4"/>
        <v>107.61030000000002</v>
      </c>
      <c r="AW16" s="269">
        <f t="shared" si="4"/>
        <v>96.282899999999998</v>
      </c>
      <c r="AX16" s="269">
        <f t="shared" si="4"/>
        <v>62.772675000000007</v>
      </c>
      <c r="AY16" s="269">
        <f t="shared" si="4"/>
        <v>42.47775</v>
      </c>
      <c r="AZ16" s="269">
        <f t="shared" si="4"/>
        <v>22.182825000000001</v>
      </c>
      <c r="BA16" s="269">
        <f t="shared" si="4"/>
        <v>8.4955500000000015</v>
      </c>
      <c r="BB16" s="269">
        <f t="shared" si="4"/>
        <v>5.6637000000000013</v>
      </c>
      <c r="BC16" s="269">
        <f t="shared" si="4"/>
        <v>2.3598750000000002</v>
      </c>
      <c r="BD16" s="269">
        <f t="shared" si="4"/>
        <v>0.94395000000000007</v>
      </c>
      <c r="BE16" s="269">
        <f t="shared" si="4"/>
        <v>0</v>
      </c>
      <c r="BF16" s="269">
        <f t="shared" si="4"/>
        <v>0</v>
      </c>
      <c r="BG16" s="269">
        <f t="shared" si="4"/>
        <v>0</v>
      </c>
      <c r="BH16" s="270">
        <f t="shared" si="4"/>
        <v>0</v>
      </c>
      <c r="BI16" s="291">
        <f t="shared" ref="BI16:BI21" si="5">SUM(B16:BH16)</f>
        <v>3447.7773750000006</v>
      </c>
      <c r="BJ16" s="299" t="s">
        <v>659</v>
      </c>
      <c r="BK16" s="299"/>
    </row>
    <row r="17" spans="1:67" s="190" customFormat="1" x14ac:dyDescent="0.2">
      <c r="A17" s="304" t="s">
        <v>642</v>
      </c>
      <c r="B17" s="214">
        <f>B16/'Consommations et côuts de prod'!$E$12</f>
        <v>0</v>
      </c>
      <c r="C17" s="214">
        <f>C16/'Consommations et côuts de prod'!$E$12</f>
        <v>0</v>
      </c>
      <c r="D17" s="214">
        <f>D16/'Consommations et côuts de prod'!$E$12</f>
        <v>0</v>
      </c>
      <c r="E17" s="214">
        <f>E16/'Consommations et côuts de prod'!$E$12</f>
        <v>0</v>
      </c>
      <c r="F17" s="214">
        <f>F16/'Consommations et côuts de prod'!$E$12</f>
        <v>0</v>
      </c>
      <c r="G17" s="214">
        <f>G16/'Consommations et côuts de prod'!$E$12</f>
        <v>0</v>
      </c>
      <c r="H17" s="214">
        <f>H16/'Consommations et côuts de prod'!$E$12</f>
        <v>0</v>
      </c>
      <c r="I17" s="214">
        <f>I16/'Consommations et côuts de prod'!$E$12</f>
        <v>0</v>
      </c>
      <c r="J17" s="214">
        <f>J16/'Consommations et côuts de prod'!$E$12</f>
        <v>0</v>
      </c>
      <c r="K17" s="214">
        <f>K16/'Consommations et côuts de prod'!$E$12</f>
        <v>0</v>
      </c>
      <c r="L17" s="214">
        <f>L16/'Consommations et côuts de prod'!$E$12</f>
        <v>0</v>
      </c>
      <c r="M17" s="214">
        <f>M16/'Consommations et côuts de prod'!$E$12</f>
        <v>0</v>
      </c>
      <c r="N17" s="214">
        <f>N16/'Consommations et côuts de prod'!$E$12</f>
        <v>1.05</v>
      </c>
      <c r="O17" s="214">
        <f>O16/'Consommations et côuts de prod'!$E$12</f>
        <v>1.5750000000000004</v>
      </c>
      <c r="P17" s="214">
        <f>P16/'Consommations et côuts de prod'!$E$12</f>
        <v>1.05</v>
      </c>
      <c r="Q17" s="214">
        <f>Q16/'Consommations et côuts de prod'!$E$12</f>
        <v>1.5750000000000004</v>
      </c>
      <c r="R17" s="214">
        <f>R16/'Consommations et côuts de prod'!$E$12</f>
        <v>3.6749999999999998</v>
      </c>
      <c r="S17" s="214">
        <f>S16/'Consommations et côuts de prod'!$E$12</f>
        <v>5.25</v>
      </c>
      <c r="T17" s="214">
        <f>T16/'Consommations et côuts de prod'!$E$12</f>
        <v>8.4</v>
      </c>
      <c r="U17" s="214">
        <f>U16/'Consommations et côuts de prod'!$E$12</f>
        <v>17.324999999999999</v>
      </c>
      <c r="V17" s="214">
        <f>V16/'Consommations et côuts de prod'!$E$12</f>
        <v>25.200000000000006</v>
      </c>
      <c r="W17" s="214">
        <f>W16/'Consommations et côuts de prod'!$E$12</f>
        <v>35.700000000000003</v>
      </c>
      <c r="X17" s="214">
        <f>X16/'Consommations et côuts de prod'!$E$12</f>
        <v>37.274999999999999</v>
      </c>
      <c r="Y17" s="214">
        <f>Y16/'Consommations et côuts de prod'!$E$12</f>
        <v>66.674999999999997</v>
      </c>
      <c r="Z17" s="214">
        <f>Z16/'Consommations et côuts de prod'!$E$12</f>
        <v>71.924999999999997</v>
      </c>
      <c r="AA17" s="214">
        <f>AA16/'Consommations et côuts de prod'!$E$12</f>
        <v>88.724999999999994</v>
      </c>
      <c r="AB17" s="214">
        <f>AB16/'Consommations et côuts de prod'!$E$12</f>
        <v>102.9</v>
      </c>
      <c r="AC17" s="214">
        <f>AC16/'Consommations et côuts de prod'!$E$12</f>
        <v>108.675</v>
      </c>
      <c r="AD17" s="214">
        <f>AD16/'Consommations et côuts de prod'!$E$12</f>
        <v>125.47499999999999</v>
      </c>
      <c r="AE17" s="214">
        <f>AE16/'Consommations et côuts de prod'!$E$12</f>
        <v>149.625</v>
      </c>
      <c r="AF17" s="214">
        <f>AF16/'Consommations et côuts de prod'!$E$12</f>
        <v>165.37500000000003</v>
      </c>
      <c r="AG17" s="214">
        <f>AG16/'Consommations et côuts de prod'!$E$12</f>
        <v>156.45000000000002</v>
      </c>
      <c r="AH17" s="214">
        <f>AH16/'Consommations et côuts de prod'!$E$12</f>
        <v>168.52500000000003</v>
      </c>
      <c r="AI17" s="214">
        <f>AI16/'Consommations et côuts de prod'!$E$12</f>
        <v>165.9</v>
      </c>
      <c r="AJ17" s="214">
        <f>AJ16/'Consommations et côuts de prod'!$E$12</f>
        <v>162.75</v>
      </c>
      <c r="AK17" s="214">
        <f>AK16/'Consommations et côuts de prod'!$E$12</f>
        <v>162.22500000000002</v>
      </c>
      <c r="AL17" s="214">
        <f>AL16/'Consommations et côuts de prod'!$E$12</f>
        <v>155.92500000000001</v>
      </c>
      <c r="AM17" s="214">
        <f>AM16/'Consommations et côuts de prod'!$E$12</f>
        <v>143.85</v>
      </c>
      <c r="AN17" s="214">
        <f>AN16/'Consommations et côuts de prod'!$E$12</f>
        <v>154.875</v>
      </c>
      <c r="AO17" s="214">
        <f>AO16/'Consommations et côuts de prod'!$E$12</f>
        <v>175.35000000000002</v>
      </c>
      <c r="AP17" s="214">
        <f>AP16/'Consommations et côuts de prod'!$E$12</f>
        <v>181.125</v>
      </c>
      <c r="AQ17" s="214">
        <f>AQ16/'Consommations et côuts de prod'!$E$12</f>
        <v>171.67499999999998</v>
      </c>
      <c r="AR17" s="214">
        <f>AR16/'Consommations et côuts de prod'!$E$12</f>
        <v>186.375</v>
      </c>
      <c r="AS17" s="214">
        <f>AS16/'Consommations et côuts de prod'!$E$12</f>
        <v>171.15</v>
      </c>
      <c r="AT17" s="214">
        <f>AT16/'Consommations et côuts de prod'!$E$12</f>
        <v>151.72499999999999</v>
      </c>
      <c r="AU17" s="214">
        <f>AU16/'Consommations et côuts de prod'!$E$12</f>
        <v>121.8</v>
      </c>
      <c r="AV17" s="214">
        <f>AV16/'Consommations et côuts de prod'!$E$12</f>
        <v>119.70000000000002</v>
      </c>
      <c r="AW17" s="214">
        <f>AW16/'Consommations et côuts de prod'!$E$12</f>
        <v>107.1</v>
      </c>
      <c r="AX17" s="214">
        <f>AX16/'Consommations et côuts de prod'!$E$12</f>
        <v>69.825000000000003</v>
      </c>
      <c r="AY17" s="214">
        <f>AY16/'Consommations et côuts de prod'!$E$12</f>
        <v>47.25</v>
      </c>
      <c r="AZ17" s="214">
        <f>AZ16/'Consommations et côuts de prod'!$E$12</f>
        <v>24.675000000000001</v>
      </c>
      <c r="BA17" s="214">
        <f>BA16/'Consommations et côuts de prod'!$E$12</f>
        <v>9.4500000000000011</v>
      </c>
      <c r="BB17" s="214">
        <f>BB16/'Consommations et côuts de prod'!$E$12</f>
        <v>6.3000000000000016</v>
      </c>
      <c r="BC17" s="214">
        <f>BC16/'Consommations et côuts de prod'!$E$12</f>
        <v>2.625</v>
      </c>
      <c r="BD17" s="214">
        <f>BD16/'Consommations et côuts de prod'!$E$12</f>
        <v>1.05</v>
      </c>
      <c r="BE17" s="214">
        <f>BE16/'Consommations et côuts de prod'!$E$12</f>
        <v>0</v>
      </c>
      <c r="BF17" s="214">
        <f>BF16/'Consommations et côuts de prod'!$E$12</f>
        <v>0</v>
      </c>
      <c r="BG17" s="214">
        <f>BG16/'Consommations et côuts de prod'!$E$12</f>
        <v>0</v>
      </c>
      <c r="BH17" s="271">
        <f>BH16/'Consommations et côuts de prod'!$E$12</f>
        <v>0</v>
      </c>
      <c r="BI17" s="291">
        <f t="shared" si="5"/>
        <v>3835.1250000000005</v>
      </c>
      <c r="BJ17" s="300" t="s">
        <v>643</v>
      </c>
      <c r="BK17" s="299"/>
    </row>
    <row r="18" spans="1:67" s="190" customFormat="1" x14ac:dyDescent="0.2">
      <c r="A18" s="308" t="s">
        <v>637</v>
      </c>
      <c r="B18" s="297">
        <f>B17*'Consommations et côuts de prod'!$D$42</f>
        <v>0</v>
      </c>
      <c r="C18" s="297">
        <f>C17*'Consommations et côuts de prod'!$D$42</f>
        <v>0</v>
      </c>
      <c r="D18" s="297">
        <f>D17*'Consommations et côuts de prod'!$D$42</f>
        <v>0</v>
      </c>
      <c r="E18" s="297">
        <f>E17*'Consommations et côuts de prod'!$D$42</f>
        <v>0</v>
      </c>
      <c r="F18" s="297">
        <f>F17*'Consommations et côuts de prod'!$D$42</f>
        <v>0</v>
      </c>
      <c r="G18" s="297">
        <f>G17*'Consommations et côuts de prod'!$D$42</f>
        <v>0</v>
      </c>
      <c r="H18" s="297">
        <f>H17*'Consommations et côuts de prod'!$D$42</f>
        <v>0</v>
      </c>
      <c r="I18" s="297">
        <f>I17*'Consommations et côuts de prod'!$D$42</f>
        <v>0</v>
      </c>
      <c r="J18" s="297">
        <f>J17*'Consommations et côuts de prod'!$D$42</f>
        <v>0</v>
      </c>
      <c r="K18" s="297">
        <f>K17*'Consommations et côuts de prod'!$D$42</f>
        <v>0</v>
      </c>
      <c r="L18" s="297">
        <f>L17*'Consommations et côuts de prod'!$D$42</f>
        <v>0</v>
      </c>
      <c r="M18" s="297">
        <f>M17*'Consommations et côuts de prod'!$D$42</f>
        <v>0</v>
      </c>
      <c r="N18" s="297">
        <f>N17*'Consommations et côuts de prod'!$D$42</f>
        <v>4.0833333333333333E-2</v>
      </c>
      <c r="O18" s="297">
        <f>O17*'Consommations et côuts de prod'!$D$42</f>
        <v>6.125000000000002E-2</v>
      </c>
      <c r="P18" s="297">
        <f>P17*'Consommations et côuts de prod'!$D$42</f>
        <v>4.0833333333333333E-2</v>
      </c>
      <c r="Q18" s="297">
        <f>Q17*'Consommations et côuts de prod'!$D$42</f>
        <v>6.125000000000002E-2</v>
      </c>
      <c r="R18" s="297">
        <f>R17*'Consommations et côuts de prod'!$D$42</f>
        <v>0.14291666666666666</v>
      </c>
      <c r="S18" s="297">
        <f>S17*'Consommations et côuts de prod'!$D$42</f>
        <v>0.20416666666666666</v>
      </c>
      <c r="T18" s="297">
        <f>T17*'Consommations et côuts de prod'!$D$42</f>
        <v>0.32666666666666666</v>
      </c>
      <c r="U18" s="297">
        <f>U17*'Consommations et côuts de prod'!$D$42</f>
        <v>0.67374999999999996</v>
      </c>
      <c r="V18" s="297">
        <f>V17*'Consommations et côuts de prod'!$D$42</f>
        <v>0.98000000000000032</v>
      </c>
      <c r="W18" s="297">
        <f>W17*'Consommations et côuts de prod'!$D$42</f>
        <v>1.3883333333333334</v>
      </c>
      <c r="X18" s="297">
        <f>X17*'Consommations et côuts de prod'!$D$42</f>
        <v>1.4495833333333332</v>
      </c>
      <c r="Y18" s="297">
        <f>Y17*'Consommations et côuts de prod'!$D$42</f>
        <v>2.5929166666666665</v>
      </c>
      <c r="Z18" s="297">
        <f>Z17*'Consommations et côuts de prod'!$D$42</f>
        <v>2.7970833333333331</v>
      </c>
      <c r="AA18" s="297">
        <f>AA17*'Consommations et côuts de prod'!$D$42</f>
        <v>3.4504166666666665</v>
      </c>
      <c r="AB18" s="297">
        <f>AB17*'Consommations et côuts de prod'!$D$42</f>
        <v>4.0016666666666669</v>
      </c>
      <c r="AC18" s="297">
        <f>AC17*'Consommations et côuts de prod'!$D$42</f>
        <v>4.2262500000000003</v>
      </c>
      <c r="AD18" s="297">
        <f>AD17*'Consommations et côuts de prod'!$D$42</f>
        <v>4.8795833333333336</v>
      </c>
      <c r="AE18" s="297">
        <f>AE17*'Consommations et côuts de prod'!$D$42</f>
        <v>5.8187500000000005</v>
      </c>
      <c r="AF18" s="297">
        <f>AF17*'Consommations et côuts de prod'!$D$42</f>
        <v>6.4312500000000012</v>
      </c>
      <c r="AG18" s="297">
        <f>AG17*'Consommations et côuts de prod'!$D$42</f>
        <v>6.0841666666666674</v>
      </c>
      <c r="AH18" s="297">
        <f>AH17*'Consommations et côuts de prod'!$D$42</f>
        <v>6.5537500000000017</v>
      </c>
      <c r="AI18" s="297">
        <f>AI17*'Consommations et côuts de prod'!$D$42</f>
        <v>6.4516666666666671</v>
      </c>
      <c r="AJ18" s="297">
        <f>AJ17*'Consommations et côuts de prod'!$D$42</f>
        <v>6.3291666666666666</v>
      </c>
      <c r="AK18" s="297">
        <f>AK17*'Consommations et côuts de prod'!$D$42</f>
        <v>6.3087500000000007</v>
      </c>
      <c r="AL18" s="297">
        <f>AL17*'Consommations et côuts de prod'!$D$42</f>
        <v>6.0637500000000006</v>
      </c>
      <c r="AM18" s="297">
        <f>AM17*'Consommations et côuts de prod'!$D$42</f>
        <v>5.5941666666666663</v>
      </c>
      <c r="AN18" s="297">
        <f>AN17*'Consommations et côuts de prod'!$D$42</f>
        <v>6.0229166666666671</v>
      </c>
      <c r="AO18" s="297">
        <f>AO17*'Consommations et côuts de prod'!$D$42</f>
        <v>6.8191666666666677</v>
      </c>
      <c r="AP18" s="297">
        <f>AP17*'Consommations et côuts de prod'!$D$42</f>
        <v>7.0437500000000002</v>
      </c>
      <c r="AQ18" s="297">
        <f>AQ17*'Consommations et côuts de prod'!$D$42</f>
        <v>6.6762499999999996</v>
      </c>
      <c r="AR18" s="297">
        <f>AR17*'Consommations et côuts de prod'!$D$42</f>
        <v>7.2479166666666668</v>
      </c>
      <c r="AS18" s="297">
        <f>AS17*'Consommations et côuts de prod'!$D$42</f>
        <v>6.6558333333333337</v>
      </c>
      <c r="AT18" s="297">
        <f>AT17*'Consommations et côuts de prod'!$D$42</f>
        <v>5.9004166666666666</v>
      </c>
      <c r="AU18" s="297">
        <f>AU17*'Consommations et côuts de prod'!$D$42</f>
        <v>4.7366666666666664</v>
      </c>
      <c r="AV18" s="297">
        <f>AV17*'Consommations et côuts de prod'!$D$42</f>
        <v>4.6550000000000011</v>
      </c>
      <c r="AW18" s="297">
        <f>AW17*'Consommations et côuts de prod'!$D$42</f>
        <v>4.165</v>
      </c>
      <c r="AX18" s="297">
        <f>AX17*'Consommations et côuts de prod'!$D$42</f>
        <v>2.715416666666667</v>
      </c>
      <c r="AY18" s="297">
        <f>AY17*'Consommations et côuts de prod'!$D$42</f>
        <v>1.8375000000000001</v>
      </c>
      <c r="AZ18" s="297">
        <f>AZ17*'Consommations et côuts de prod'!$D$42</f>
        <v>0.95958333333333334</v>
      </c>
      <c r="BA18" s="297">
        <f>BA17*'Consommations et côuts de prod'!$D$42</f>
        <v>0.36750000000000005</v>
      </c>
      <c r="BB18" s="297">
        <f>BB17*'Consommations et côuts de prod'!$D$42</f>
        <v>0.24500000000000008</v>
      </c>
      <c r="BC18" s="297">
        <f>BC17*'Consommations et côuts de prod'!$D$42</f>
        <v>0.10208333333333333</v>
      </c>
      <c r="BD18" s="297">
        <f>BD17*'Consommations et côuts de prod'!$D$42</f>
        <v>4.0833333333333333E-2</v>
      </c>
      <c r="BE18" s="297">
        <f>BE17*'Consommations et côuts de prod'!$D$42</f>
        <v>0</v>
      </c>
      <c r="BF18" s="297">
        <f>BF17*'Consommations et côuts de prod'!$D$42</f>
        <v>0</v>
      </c>
      <c r="BG18" s="297">
        <f>BG17*'Consommations et côuts de prod'!$D$42</f>
        <v>0</v>
      </c>
      <c r="BH18" s="298">
        <f>BH17*'Consommations et côuts de prod'!$D$42</f>
        <v>0</v>
      </c>
      <c r="BI18" s="291">
        <f t="shared" si="5"/>
        <v>149.14375000000001</v>
      </c>
      <c r="BJ18" s="299" t="s">
        <v>639</v>
      </c>
      <c r="BK18" s="300"/>
    </row>
    <row r="19" spans="1:67" s="190" customFormat="1" x14ac:dyDescent="0.2">
      <c r="A19" s="305" t="s">
        <v>641</v>
      </c>
      <c r="B19" s="264">
        <f>(1-B13)*B10</f>
        <v>0</v>
      </c>
      <c r="C19" s="264">
        <f t="shared" ref="C19:BH19" si="6">(1-C13)*C10</f>
        <v>0</v>
      </c>
      <c r="D19" s="264">
        <f t="shared" si="6"/>
        <v>0</v>
      </c>
      <c r="E19" s="264">
        <f t="shared" si="6"/>
        <v>0</v>
      </c>
      <c r="F19" s="264">
        <f t="shared" si="6"/>
        <v>0</v>
      </c>
      <c r="G19" s="264">
        <f t="shared" si="6"/>
        <v>0</v>
      </c>
      <c r="H19" s="264">
        <f t="shared" si="6"/>
        <v>0</v>
      </c>
      <c r="I19" s="264">
        <f t="shared" si="6"/>
        <v>0</v>
      </c>
      <c r="J19" s="264">
        <f t="shared" si="6"/>
        <v>0</v>
      </c>
      <c r="K19" s="264">
        <f t="shared" si="6"/>
        <v>0</v>
      </c>
      <c r="L19" s="264">
        <f t="shared" si="6"/>
        <v>0</v>
      </c>
      <c r="M19" s="264">
        <f t="shared" si="6"/>
        <v>0</v>
      </c>
      <c r="N19" s="264">
        <f t="shared" si="6"/>
        <v>0.10004999999999974</v>
      </c>
      <c r="O19" s="264">
        <f t="shared" si="6"/>
        <v>0.15007499999999963</v>
      </c>
      <c r="P19" s="264">
        <f t="shared" si="6"/>
        <v>0.10004999999999974</v>
      </c>
      <c r="Q19" s="264">
        <f t="shared" si="6"/>
        <v>0.15007499999999963</v>
      </c>
      <c r="R19" s="264">
        <f t="shared" si="6"/>
        <v>0.35017499999999907</v>
      </c>
      <c r="S19" s="264">
        <f t="shared" si="6"/>
        <v>0.50024999999999864</v>
      </c>
      <c r="T19" s="264">
        <f t="shared" si="6"/>
        <v>0.80039999999999789</v>
      </c>
      <c r="U19" s="264">
        <f t="shared" si="6"/>
        <v>1.6508249999999955</v>
      </c>
      <c r="V19" s="264">
        <f t="shared" si="6"/>
        <v>2.401199999999994</v>
      </c>
      <c r="W19" s="264">
        <f t="shared" si="6"/>
        <v>3.4016999999999915</v>
      </c>
      <c r="X19" s="264">
        <f t="shared" si="6"/>
        <v>3.5517749999999908</v>
      </c>
      <c r="Y19" s="264">
        <f t="shared" si="6"/>
        <v>6.3531749999999834</v>
      </c>
      <c r="Z19" s="264">
        <f t="shared" si="6"/>
        <v>6.8534249999999819</v>
      </c>
      <c r="AA19" s="264">
        <f t="shared" si="6"/>
        <v>8.4542249999999779</v>
      </c>
      <c r="AB19" s="264">
        <f t="shared" si="6"/>
        <v>9.8048999999999751</v>
      </c>
      <c r="AC19" s="264">
        <f t="shared" si="6"/>
        <v>10.355174999999972</v>
      </c>
      <c r="AD19" s="264">
        <f t="shared" si="6"/>
        <v>11.955974999999968</v>
      </c>
      <c r="AE19" s="264">
        <f t="shared" si="6"/>
        <v>14.257124999999965</v>
      </c>
      <c r="AF19" s="264">
        <f t="shared" si="6"/>
        <v>15.757874999999959</v>
      </c>
      <c r="AG19" s="264">
        <f t="shared" si="6"/>
        <v>14.907449999999963</v>
      </c>
      <c r="AH19" s="264">
        <f t="shared" si="6"/>
        <v>16.058024999999962</v>
      </c>
      <c r="AI19" s="264">
        <f t="shared" si="6"/>
        <v>15.807899999999959</v>
      </c>
      <c r="AJ19" s="264">
        <f t="shared" si="6"/>
        <v>15.507749999999959</v>
      </c>
      <c r="AK19" s="264">
        <f t="shared" si="6"/>
        <v>15.457724999999961</v>
      </c>
      <c r="AL19" s="264">
        <f t="shared" si="6"/>
        <v>14.85742499999996</v>
      </c>
      <c r="AM19" s="264">
        <f t="shared" si="6"/>
        <v>13.706849999999964</v>
      </c>
      <c r="AN19" s="264">
        <f t="shared" si="6"/>
        <v>14.757374999999962</v>
      </c>
      <c r="AO19" s="264">
        <f t="shared" si="6"/>
        <v>16.70834999999996</v>
      </c>
      <c r="AP19" s="264">
        <f t="shared" si="6"/>
        <v>17.258624999999956</v>
      </c>
      <c r="AQ19" s="264">
        <f t="shared" si="6"/>
        <v>16.358174999999957</v>
      </c>
      <c r="AR19" s="264">
        <f t="shared" si="6"/>
        <v>17.758874999999954</v>
      </c>
      <c r="AS19" s="264">
        <f t="shared" si="6"/>
        <v>16.308149999999959</v>
      </c>
      <c r="AT19" s="264">
        <f t="shared" si="6"/>
        <v>14.457224999999964</v>
      </c>
      <c r="AU19" s="264">
        <f t="shared" si="6"/>
        <v>11.60579999999997</v>
      </c>
      <c r="AV19" s="264">
        <f t="shared" si="6"/>
        <v>11.405699999999971</v>
      </c>
      <c r="AW19" s="264">
        <f t="shared" si="6"/>
        <v>10.205099999999973</v>
      </c>
      <c r="AX19" s="264">
        <f t="shared" si="6"/>
        <v>6.6533249999999828</v>
      </c>
      <c r="AY19" s="264">
        <f t="shared" si="6"/>
        <v>4.5022499999999885</v>
      </c>
      <c r="AZ19" s="264">
        <f t="shared" si="6"/>
        <v>2.3511749999999938</v>
      </c>
      <c r="BA19" s="264">
        <f t="shared" si="6"/>
        <v>0.90044999999999775</v>
      </c>
      <c r="BB19" s="264">
        <f t="shared" si="6"/>
        <v>0.6002999999999985</v>
      </c>
      <c r="BC19" s="264">
        <f t="shared" si="6"/>
        <v>0.25012499999999932</v>
      </c>
      <c r="BD19" s="264">
        <f t="shared" si="6"/>
        <v>0.10004999999999974</v>
      </c>
      <c r="BE19" s="264">
        <f t="shared" si="6"/>
        <v>0</v>
      </c>
      <c r="BF19" s="264">
        <f t="shared" si="6"/>
        <v>0</v>
      </c>
      <c r="BG19" s="264">
        <f t="shared" si="6"/>
        <v>0</v>
      </c>
      <c r="BH19" s="273">
        <f t="shared" si="6"/>
        <v>0</v>
      </c>
      <c r="BI19" s="292">
        <f t="shared" si="5"/>
        <v>365.43262499999906</v>
      </c>
      <c r="BJ19" s="243" t="s">
        <v>659</v>
      </c>
      <c r="BK19" s="243"/>
    </row>
    <row r="20" spans="1:67" s="190" customFormat="1" x14ac:dyDescent="0.2">
      <c r="A20" s="306" t="s">
        <v>535</v>
      </c>
      <c r="B20" s="214">
        <f>B19/'Consommations et côuts de prod'!$F$6</f>
        <v>0</v>
      </c>
      <c r="C20" s="214">
        <f>C19/'Consommations et côuts de prod'!$F$6</f>
        <v>0</v>
      </c>
      <c r="D20" s="214">
        <f>D19/'Consommations et côuts de prod'!$F$6</f>
        <v>0</v>
      </c>
      <c r="E20" s="214">
        <f>E19/'Consommations et côuts de prod'!$F$6</f>
        <v>0</v>
      </c>
      <c r="F20" s="214">
        <f>F19/'Consommations et côuts de prod'!$F$6</f>
        <v>0</v>
      </c>
      <c r="G20" s="214">
        <f>G19/'Consommations et côuts de prod'!$F$6</f>
        <v>0</v>
      </c>
      <c r="H20" s="214">
        <f>H19/'Consommations et côuts de prod'!$F$6</f>
        <v>0</v>
      </c>
      <c r="I20" s="214">
        <f>I19/'Consommations et côuts de prod'!$F$6</f>
        <v>0</v>
      </c>
      <c r="J20" s="214">
        <f>J19/'Consommations et côuts de prod'!$F$6</f>
        <v>0</v>
      </c>
      <c r="K20" s="214">
        <f>K19/'Consommations et côuts de prod'!$F$6</f>
        <v>0</v>
      </c>
      <c r="L20" s="214">
        <f>L19/'Consommations et côuts de prod'!$F$6</f>
        <v>0</v>
      </c>
      <c r="M20" s="214">
        <f>M19/'Consommations et côuts de prod'!$F$6</f>
        <v>0</v>
      </c>
      <c r="N20" s="214">
        <f>N19/'Consommations et côuts de prod'!$F$6</f>
        <v>9.5285714285714029E-2</v>
      </c>
      <c r="O20" s="214">
        <f>O19/'Consommations et côuts de prod'!$F$6</f>
        <v>0.14292857142857107</v>
      </c>
      <c r="P20" s="214">
        <f>P19/'Consommations et côuts de prod'!$F$6</f>
        <v>9.5285714285714029E-2</v>
      </c>
      <c r="Q20" s="214">
        <f>Q19/'Consommations et côuts de prod'!$F$6</f>
        <v>0.14292857142857107</v>
      </c>
      <c r="R20" s="214">
        <f>R19/'Consommations et côuts de prod'!$F$6</f>
        <v>0.33349999999999907</v>
      </c>
      <c r="S20" s="214">
        <f>S19/'Consommations et côuts de prod'!$F$6</f>
        <v>0.47642857142857009</v>
      </c>
      <c r="T20" s="214">
        <f>T19/'Consommations et côuts de prod'!$F$6</f>
        <v>0.76228571428571223</v>
      </c>
      <c r="U20" s="214">
        <f>U19/'Consommations et côuts de prod'!$F$6</f>
        <v>1.5722142857142813</v>
      </c>
      <c r="V20" s="214">
        <f>V19/'Consommations et côuts de prod'!$F$6</f>
        <v>2.2868571428571371</v>
      </c>
      <c r="W20" s="214">
        <f>W19/'Consommations et côuts de prod'!$F$6</f>
        <v>3.2397142857142773</v>
      </c>
      <c r="X20" s="214">
        <f>X19/'Consommations et côuts de prod'!$F$6</f>
        <v>3.3826428571428484</v>
      </c>
      <c r="Y20" s="214">
        <f>Y19/'Consommations et côuts de prod'!$F$6</f>
        <v>6.050642857142841</v>
      </c>
      <c r="Z20" s="214">
        <f>Z19/'Consommations et côuts de prod'!$F$6</f>
        <v>6.5270714285714106</v>
      </c>
      <c r="AA20" s="214">
        <f>AA19/'Consommations et côuts de prod'!$F$6</f>
        <v>8.051642857142836</v>
      </c>
      <c r="AB20" s="214">
        <f>AB19/'Consommations et côuts de prod'!$F$6</f>
        <v>9.3379999999999761</v>
      </c>
      <c r="AC20" s="214">
        <f>AC19/'Consommations et côuts de prod'!$F$6</f>
        <v>9.8620714285714026</v>
      </c>
      <c r="AD20" s="214">
        <f>AD19/'Consommations et côuts de prod'!$F$6</f>
        <v>11.386642857142826</v>
      </c>
      <c r="AE20" s="214">
        <f>AE19/'Consommations et côuts de prod'!$F$6</f>
        <v>13.578214285714251</v>
      </c>
      <c r="AF20" s="214">
        <f>AF19/'Consommations et côuts de prod'!$F$6</f>
        <v>15.007499999999961</v>
      </c>
      <c r="AG20" s="214">
        <f>AG19/'Consommations et côuts de prod'!$F$6</f>
        <v>14.197571428571393</v>
      </c>
      <c r="AH20" s="214">
        <f>AH19/'Consommations et côuts de prod'!$F$6</f>
        <v>15.293357142857106</v>
      </c>
      <c r="AI20" s="214">
        <f>AI19/'Consommations et côuts de prod'!$F$6</f>
        <v>15.055142857142817</v>
      </c>
      <c r="AJ20" s="214">
        <f>AJ19/'Consommations et côuts de prod'!$F$6</f>
        <v>14.769285714285674</v>
      </c>
      <c r="AK20" s="214">
        <f>AK19/'Consommations et côuts de prod'!$F$6</f>
        <v>14.72164285714282</v>
      </c>
      <c r="AL20" s="214">
        <f>AL19/'Consommations et côuts de prod'!$F$6</f>
        <v>14.149928571428532</v>
      </c>
      <c r="AM20" s="214">
        <f>AM19/'Consommations et côuts de prod'!$F$6</f>
        <v>13.054142857142821</v>
      </c>
      <c r="AN20" s="214">
        <f>AN19/'Consommations et côuts de prod'!$F$6</f>
        <v>14.05464285714282</v>
      </c>
      <c r="AO20" s="214">
        <f>AO19/'Consommations et côuts de prod'!$F$6</f>
        <v>15.912714285714248</v>
      </c>
      <c r="AP20" s="214">
        <f>AP19/'Consommations et côuts de prod'!$F$6</f>
        <v>16.436785714285673</v>
      </c>
      <c r="AQ20" s="214">
        <f>AQ19/'Consommations et côuts de prod'!$F$6</f>
        <v>15.579214285714244</v>
      </c>
      <c r="AR20" s="214">
        <f>AR19/'Consommations et côuts de prod'!$F$6</f>
        <v>16.91321428571424</v>
      </c>
      <c r="AS20" s="214">
        <f>AS19/'Consommations et côuts de prod'!$F$6</f>
        <v>15.531571428571388</v>
      </c>
      <c r="AT20" s="214">
        <f>AT19/'Consommations et côuts de prod'!$F$6</f>
        <v>13.768785714285679</v>
      </c>
      <c r="AU20" s="214">
        <f>AU19/'Consommations et côuts de prod'!$F$6</f>
        <v>11.053142857142829</v>
      </c>
      <c r="AV20" s="214">
        <f>AV19/'Consommations et côuts de prod'!$F$6</f>
        <v>10.862571428571401</v>
      </c>
      <c r="AW20" s="214">
        <f>AW19/'Consommations et côuts de prod'!$F$6</f>
        <v>9.7191428571428311</v>
      </c>
      <c r="AX20" s="214">
        <f>AX19/'Consommations et côuts de prod'!$F$6</f>
        <v>6.3364999999999831</v>
      </c>
      <c r="AY20" s="214">
        <f>AY19/'Consommations et côuts de prod'!$F$6</f>
        <v>4.2878571428571322</v>
      </c>
      <c r="AZ20" s="214">
        <f>AZ19/'Consommations et côuts de prod'!$F$6</f>
        <v>2.2392142857142798</v>
      </c>
      <c r="BA20" s="214">
        <f>BA19/'Consommations et côuts de prod'!$F$6</f>
        <v>0.85757142857142643</v>
      </c>
      <c r="BB20" s="214">
        <f>BB19/'Consommations et côuts de prod'!$F$6</f>
        <v>0.57171428571428429</v>
      </c>
      <c r="BC20" s="214">
        <f>BC19/'Consommations et côuts de prod'!$F$6</f>
        <v>0.23821428571428505</v>
      </c>
      <c r="BD20" s="214">
        <f>BD19/'Consommations et côuts de prod'!$F$6</f>
        <v>9.5285714285714029E-2</v>
      </c>
      <c r="BE20" s="214">
        <f>BE19/'Consommations et côuts de prod'!$F$6</f>
        <v>0</v>
      </c>
      <c r="BF20" s="214">
        <f>BF19/'Consommations et côuts de prod'!$F$6</f>
        <v>0</v>
      </c>
      <c r="BG20" s="214">
        <f>BG19/'Consommations et côuts de prod'!$F$6</f>
        <v>0</v>
      </c>
      <c r="BH20" s="271">
        <f>BH19/'Consommations et côuts de prod'!$F$6</f>
        <v>0</v>
      </c>
      <c r="BI20" s="292">
        <f t="shared" si="5"/>
        <v>348.03107142857056</v>
      </c>
      <c r="BJ20" s="301" t="s">
        <v>644</v>
      </c>
      <c r="BK20" s="243"/>
    </row>
    <row r="21" spans="1:67" s="190" customFormat="1" ht="13.5" thickBot="1" x14ac:dyDescent="0.25">
      <c r="A21" s="307" t="s">
        <v>638</v>
      </c>
      <c r="B21" s="274">
        <f>B20*'Consommations et côuts de prod'!$H$6/100</f>
        <v>0</v>
      </c>
      <c r="C21" s="274">
        <f>C20*'Consommations et côuts de prod'!$H$6/100</f>
        <v>0</v>
      </c>
      <c r="D21" s="274">
        <f>D20*'Consommations et côuts de prod'!$H$6/100</f>
        <v>0</v>
      </c>
      <c r="E21" s="274">
        <f>E20*'Consommations et côuts de prod'!$H$6/100</f>
        <v>0</v>
      </c>
      <c r="F21" s="274">
        <f>F20*'Consommations et côuts de prod'!$H$6/100</f>
        <v>0</v>
      </c>
      <c r="G21" s="274">
        <f>G20*'Consommations et côuts de prod'!$H$6/100</f>
        <v>0</v>
      </c>
      <c r="H21" s="274">
        <f>H20*'Consommations et côuts de prod'!$H$6/100</f>
        <v>0</v>
      </c>
      <c r="I21" s="274">
        <f>I20*'Consommations et côuts de prod'!$H$6/100</f>
        <v>0</v>
      </c>
      <c r="J21" s="274">
        <f>J20*'Consommations et côuts de prod'!$H$6/100</f>
        <v>0</v>
      </c>
      <c r="K21" s="274">
        <f>K20*'Consommations et côuts de prod'!$H$6/100</f>
        <v>0</v>
      </c>
      <c r="L21" s="274">
        <f>L20*'Consommations et côuts de prod'!$H$6/100</f>
        <v>0</v>
      </c>
      <c r="M21" s="274">
        <f>M20*'Consommations et côuts de prod'!$H$6/100</f>
        <v>0</v>
      </c>
      <c r="N21" s="274">
        <f>N20*'Consommations et côuts de prod'!$H$6/100</f>
        <v>6.002999999999984E-3</v>
      </c>
      <c r="O21" s="274">
        <f>O20*'Consommations et côuts de prod'!$H$6/100</f>
        <v>9.0044999999999778E-3</v>
      </c>
      <c r="P21" s="274">
        <f>P20*'Consommations et côuts de prod'!$H$6/100</f>
        <v>6.002999999999984E-3</v>
      </c>
      <c r="Q21" s="274">
        <f>Q20*'Consommations et côuts de prod'!$H$6/100</f>
        <v>9.0044999999999778E-3</v>
      </c>
      <c r="R21" s="274">
        <f>R20*'Consommations et côuts de prod'!$H$6/100</f>
        <v>2.1010499999999942E-2</v>
      </c>
      <c r="S21" s="274">
        <f>S20*'Consommations et côuts de prod'!$H$6/100</f>
        <v>3.0014999999999917E-2</v>
      </c>
      <c r="T21" s="274">
        <f>T20*'Consommations et côuts de prod'!$H$6/100</f>
        <v>4.8023999999999872E-2</v>
      </c>
      <c r="U21" s="274">
        <f>U20*'Consommations et côuts de prod'!$H$6/100</f>
        <v>9.9049499999999735E-2</v>
      </c>
      <c r="V21" s="274">
        <f>V20*'Consommations et côuts de prod'!$H$6/100</f>
        <v>0.14407199999999964</v>
      </c>
      <c r="W21" s="274">
        <f>W20*'Consommations et côuts de prod'!$H$6/100</f>
        <v>0.20410199999999945</v>
      </c>
      <c r="X21" s="274">
        <f>X20*'Consommations et côuts de prod'!$H$6/100</f>
        <v>0.21310649999999945</v>
      </c>
      <c r="Y21" s="274">
        <f>Y20*'Consommations et côuts de prod'!$H$6/100</f>
        <v>0.38119049999999893</v>
      </c>
      <c r="Z21" s="274">
        <f>Z20*'Consommations et côuts de prod'!$H$6/100</f>
        <v>0.41120549999999889</v>
      </c>
      <c r="AA21" s="274">
        <f>AA20*'Consommations et côuts de prod'!$H$6/100</f>
        <v>0.50725349999999869</v>
      </c>
      <c r="AB21" s="274">
        <f>AB20*'Consommations et côuts de prod'!$H$6/100</f>
        <v>0.58829399999999854</v>
      </c>
      <c r="AC21" s="274">
        <f>AC20*'Consommations et côuts de prod'!$H$6/100</f>
        <v>0.62131049999999832</v>
      </c>
      <c r="AD21" s="274">
        <f>AD20*'Consommations et côuts de prod'!$H$6/100</f>
        <v>0.71735849999999801</v>
      </c>
      <c r="AE21" s="274">
        <f>AE20*'Consommations et côuts de prod'!$H$6/100</f>
        <v>0.8554274999999979</v>
      </c>
      <c r="AF21" s="274">
        <f>AF20*'Consommations et côuts de prod'!$H$6/100</f>
        <v>0.9454724999999975</v>
      </c>
      <c r="AG21" s="274">
        <f>AG20*'Consommations et côuts de prod'!$H$6/100</f>
        <v>0.89444699999999766</v>
      </c>
      <c r="AH21" s="274">
        <f>AH20*'Consommations et côuts de prod'!$H$6/100</f>
        <v>0.96348149999999766</v>
      </c>
      <c r="AI21" s="274">
        <f>AI20*'Consommations et côuts de prod'!$H$6/100</f>
        <v>0.94847399999999749</v>
      </c>
      <c r="AJ21" s="274">
        <f>AJ20*'Consommations et côuts de prod'!$H$6/100</f>
        <v>0.93046499999999743</v>
      </c>
      <c r="AK21" s="274">
        <f>AK20*'Consommations et côuts de prod'!$H$6/100</f>
        <v>0.92746349999999766</v>
      </c>
      <c r="AL21" s="274">
        <f>AL20*'Consommations et côuts de prod'!$H$6/100</f>
        <v>0.89144549999999756</v>
      </c>
      <c r="AM21" s="274">
        <f>AM20*'Consommations et côuts de prod'!$H$6/100</f>
        <v>0.82241099999999778</v>
      </c>
      <c r="AN21" s="274">
        <f>AN20*'Consommations et côuts de prod'!$H$6/100</f>
        <v>0.88544249999999769</v>
      </c>
      <c r="AO21" s="274">
        <f>AO20*'Consommations et côuts de prod'!$H$6/100</f>
        <v>1.0025009999999976</v>
      </c>
      <c r="AP21" s="274">
        <f>AP20*'Consommations et côuts de prod'!$H$6/100</f>
        <v>1.0355174999999974</v>
      </c>
      <c r="AQ21" s="274">
        <f>AQ20*'Consommations et côuts de prod'!$H$6/100</f>
        <v>0.98149049999999738</v>
      </c>
      <c r="AR21" s="274">
        <f>AR20*'Consommations et côuts de prod'!$H$6/100</f>
        <v>1.0655324999999971</v>
      </c>
      <c r="AS21" s="274">
        <f>AS20*'Consommations et côuts de prod'!$H$6/100</f>
        <v>0.9784889999999975</v>
      </c>
      <c r="AT21" s="274">
        <f>AT20*'Consommations et côuts de prod'!$H$6/100</f>
        <v>0.86743349999999775</v>
      </c>
      <c r="AU21" s="274">
        <f>AU20*'Consommations et côuts de prod'!$H$6/100</f>
        <v>0.69634799999999819</v>
      </c>
      <c r="AV21" s="274">
        <f>AV20*'Consommations et côuts de prod'!$H$6/100</f>
        <v>0.68434199999999834</v>
      </c>
      <c r="AW21" s="274">
        <f>AW20*'Consommations et côuts de prod'!$H$6/100</f>
        <v>0.61230599999999835</v>
      </c>
      <c r="AX21" s="274">
        <f>AX20*'Consommations et côuts de prod'!$H$6/100</f>
        <v>0.39919949999999893</v>
      </c>
      <c r="AY21" s="274">
        <f>AY20*'Consommations et côuts de prod'!$H$6/100</f>
        <v>0.27013499999999935</v>
      </c>
      <c r="AZ21" s="274">
        <f>AZ20*'Consommations et côuts de prod'!$H$6/100</f>
        <v>0.14107049999999963</v>
      </c>
      <c r="BA21" s="274">
        <f>BA20*'Consommations et côuts de prod'!$H$6/100</f>
        <v>5.402699999999986E-2</v>
      </c>
      <c r="BB21" s="274">
        <f>BB20*'Consommations et côuts de prod'!$H$6/100</f>
        <v>3.6017999999999911E-2</v>
      </c>
      <c r="BC21" s="274">
        <f>BC20*'Consommations et côuts de prod'!$H$6/100</f>
        <v>1.5007499999999958E-2</v>
      </c>
      <c r="BD21" s="274">
        <f>BD20*'Consommations et côuts de prod'!$H$6/100</f>
        <v>6.002999999999984E-3</v>
      </c>
      <c r="BE21" s="274">
        <f>BE20*'Consommations et côuts de prod'!$H$6/100</f>
        <v>0</v>
      </c>
      <c r="BF21" s="274">
        <f>BF20*'Consommations et côuts de prod'!$H$6/100</f>
        <v>0</v>
      </c>
      <c r="BG21" s="274">
        <f>BG20*'Consommations et côuts de prod'!$H$6/100</f>
        <v>0</v>
      </c>
      <c r="BH21" s="274">
        <f>BH20*'Consommations et côuts de prod'!$H$6/100</f>
        <v>0</v>
      </c>
      <c r="BI21" s="292">
        <f t="shared" si="5"/>
        <v>21.925957499999935</v>
      </c>
      <c r="BJ21" s="243" t="s">
        <v>639</v>
      </c>
      <c r="BK21" s="301"/>
      <c r="BL21" s="411"/>
    </row>
    <row r="22" spans="1:67" s="190" customFormat="1" ht="13.5" thickBot="1" x14ac:dyDescent="0.25">
      <c r="A22" s="340" t="s">
        <v>645</v>
      </c>
      <c r="B22" s="341"/>
      <c r="C22" s="341"/>
      <c r="D22" s="341"/>
      <c r="E22" s="341"/>
      <c r="F22" s="341"/>
      <c r="G22" s="341"/>
      <c r="H22" s="341"/>
      <c r="I22" s="341"/>
      <c r="J22" s="341"/>
      <c r="K22" s="341"/>
      <c r="L22" s="341"/>
      <c r="M22" s="341"/>
      <c r="N22" s="341"/>
      <c r="O22" s="341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2"/>
      <c r="BI22" s="258"/>
    </row>
    <row r="23" spans="1:67" s="190" customFormat="1" ht="13.5" thickBot="1" x14ac:dyDescent="0.25">
      <c r="A23" s="294" t="s">
        <v>654</v>
      </c>
      <c r="B23" s="269">
        <v>0</v>
      </c>
      <c r="C23" s="269">
        <v>0</v>
      </c>
      <c r="D23" s="269">
        <v>0</v>
      </c>
      <c r="E23" s="269">
        <v>0</v>
      </c>
      <c r="F23" s="269">
        <v>0</v>
      </c>
      <c r="G23" s="269">
        <f>VLOOKUP(Données!$C$14,'BdD Localisation'!$C$111:$BD$206,3,FALSE)</f>
        <v>0</v>
      </c>
      <c r="H23" s="269">
        <f>VLOOKUP(Données!$C$14,'BdD Localisation'!$C$111:$BD$206,4,FALSE)</f>
        <v>0</v>
      </c>
      <c r="I23" s="269">
        <f>VLOOKUP(Données!$C$14,'BdD Localisation'!$C$111:$BD$206,5,FALSE)</f>
        <v>0</v>
      </c>
      <c r="J23" s="269">
        <f>VLOOKUP(Données!$C$14,'BdD Localisation'!$C$111:$BD$206,6,FALSE)</f>
        <v>0</v>
      </c>
      <c r="K23" s="269">
        <f>VLOOKUP(Données!$C$14,'BdD Localisation'!$C$111:$BD$206,7,FALSE)</f>
        <v>0</v>
      </c>
      <c r="L23" s="269">
        <f>VLOOKUP(Données!$C$14,'BdD Localisation'!$C$111:$BD$206,8,FALSE)</f>
        <v>0</v>
      </c>
      <c r="M23" s="269">
        <f>VLOOKUP(Données!$C$14,'BdD Localisation'!$C$111:$BD$206,9,FALSE)</f>
        <v>0</v>
      </c>
      <c r="N23" s="269">
        <f>VLOOKUP(Données!$C$14,'BdD Localisation'!$C$111:$BD$206,10,FALSE)</f>
        <v>0.1</v>
      </c>
      <c r="O23" s="269">
        <f>VLOOKUP(Données!$C$14,'BdD Localisation'!$C$111:$BD$206,11,FALSE)</f>
        <v>0.15</v>
      </c>
      <c r="P23" s="269">
        <f>VLOOKUP(Données!$C$14,'BdD Localisation'!$C$111:$BD$206,12,FALSE)</f>
        <v>0.1</v>
      </c>
      <c r="Q23" s="269">
        <f>VLOOKUP(Données!$C$14,'BdD Localisation'!$C$111:$BD$206,13,FALSE)</f>
        <v>0.15</v>
      </c>
      <c r="R23" s="269">
        <f>VLOOKUP(Données!$C$14,'BdD Localisation'!$C$111:$BD$206,14,FALSE)</f>
        <v>0.35</v>
      </c>
      <c r="S23" s="269">
        <f>VLOOKUP(Données!$C$14,'BdD Localisation'!$C$111:$BD$206,15,FALSE)</f>
        <v>0.5</v>
      </c>
      <c r="T23" s="269">
        <f>VLOOKUP(Données!$C$14,'BdD Localisation'!$C$111:$BD$206,16,FALSE)</f>
        <v>0.8</v>
      </c>
      <c r="U23" s="269">
        <f>VLOOKUP(Données!$C$14,'BdD Localisation'!$C$111:$BD$206,17,FALSE)</f>
        <v>1.65</v>
      </c>
      <c r="V23" s="269">
        <f>VLOOKUP(Données!$C$14,'BdD Localisation'!$C$111:$BD$206,18,FALSE)</f>
        <v>2.4</v>
      </c>
      <c r="W23" s="269">
        <f>VLOOKUP(Données!$C$14,'BdD Localisation'!$C$111:$BD$206,19,FALSE)</f>
        <v>3.4</v>
      </c>
      <c r="X23" s="269">
        <f>VLOOKUP(Données!$C$14,'BdD Localisation'!$C$111:$BD$206,20,FALSE)</f>
        <v>3.55</v>
      </c>
      <c r="Y23" s="269">
        <f>VLOOKUP(Données!$C$14,'BdD Localisation'!$C$111:$BD$206,21,FALSE)</f>
        <v>6.35</v>
      </c>
      <c r="Z23" s="269">
        <f>VLOOKUP(Données!$C$14,'BdD Localisation'!$C$111:$BD$206,22,FALSE)</f>
        <v>6.85</v>
      </c>
      <c r="AA23" s="269">
        <f>VLOOKUP(Données!$C$14,'BdD Localisation'!$C$111:$BD$206,23,FALSE)</f>
        <v>8.4499999999999993</v>
      </c>
      <c r="AB23" s="269">
        <f>VLOOKUP(Données!$C$14,'BdD Localisation'!$C$111:$BD$206,24,FALSE)</f>
        <v>9.8000000000000007</v>
      </c>
      <c r="AC23" s="269">
        <f>VLOOKUP(Données!$C$14,'BdD Localisation'!$C$111:$BD$206,25,FALSE)</f>
        <v>10.35</v>
      </c>
      <c r="AD23" s="269">
        <f>VLOOKUP(Données!$C$14,'BdD Localisation'!$C$111:$BD$206,26,FALSE)</f>
        <v>11.95</v>
      </c>
      <c r="AE23" s="269">
        <f>VLOOKUP(Données!$C$14,'BdD Localisation'!$C$111:$BD$206,27,FALSE)</f>
        <v>14.25</v>
      </c>
      <c r="AF23" s="269">
        <f>VLOOKUP(Données!$C$14,'BdD Localisation'!$C$111:$BD$206,28,FALSE)</f>
        <v>15.75</v>
      </c>
      <c r="AG23" s="269">
        <f>VLOOKUP(Données!$C$14,'BdD Localisation'!$C$111:$BD$206,29,FALSE)</f>
        <v>14.9</v>
      </c>
      <c r="AH23" s="269">
        <f>VLOOKUP(Données!$C$14,'BdD Localisation'!$C$111:$BD$206,30,FALSE)</f>
        <v>16.05</v>
      </c>
      <c r="AI23" s="269">
        <f>VLOOKUP(Données!$C$14,'BdD Localisation'!$C$111:$BD$206,31,FALSE)</f>
        <v>15.8</v>
      </c>
      <c r="AJ23" s="269">
        <f>VLOOKUP(Données!$C$14,'BdD Localisation'!$C$111:$BD$206,32,FALSE)</f>
        <v>15.5</v>
      </c>
      <c r="AK23" s="269">
        <f>0.95*VLOOKUP(Données!$C$14,'BdD Localisation'!$C$111:$BD$206,33,FALSE)</f>
        <v>14.677499999999998</v>
      </c>
      <c r="AL23" s="269">
        <f>0.9*VLOOKUP(Données!$C$14,'BdD Localisation'!$C$111:$BD$206,34,FALSE)</f>
        <v>13.365</v>
      </c>
      <c r="AM23" s="269">
        <f>0.85*VLOOKUP(Données!$C$14,'BdD Localisation'!$C$111:$BD$206,35,FALSE)</f>
        <v>11.645</v>
      </c>
      <c r="AN23" s="269">
        <f>0.7*VLOOKUP(Données!$C$14,'BdD Localisation'!$C$111:$BD$206,36,FALSE)</f>
        <v>10.324999999999999</v>
      </c>
      <c r="AO23" s="269">
        <f>0.6*VLOOKUP(Données!$C$14,'BdD Localisation'!$C$111:$BD$206,37,FALSE)</f>
        <v>10.02</v>
      </c>
      <c r="AP23" s="269">
        <f>0.4*VLOOKUP(Données!$C$14,'BdD Localisation'!$C$111:$BD$206,38,FALSE)</f>
        <v>6.9</v>
      </c>
      <c r="AQ23" s="269">
        <f>0.35*IF(Données!$L$19-3&lt;Résultats!AQ5,0,VLOOKUP(Données!$C$14,'BdD Localisation'!$C$111:$BD$206,39,FALSE))</f>
        <v>5.7225000000000001</v>
      </c>
      <c r="AR23" s="269">
        <f>0.4*IF(Données!$L$19-3&lt;=Résultats!AR5,0,VLOOKUP(Données!$C$14,'BdD Localisation'!$C$111:$BD$206,40,FALSE))</f>
        <v>0</v>
      </c>
      <c r="AS23" s="269">
        <f>0.3*IF(Données!$L$19-3&lt;=Résultats!AS5,0,VLOOKUP(Données!$C$14,'BdD Localisation'!$C$111:$BD$206,40,FALSE))</f>
        <v>0</v>
      </c>
      <c r="AT23" s="269">
        <f>IF(Données!$L$19-3&lt;=Résultats!AT5,0,VLOOKUP(Données!$C$14,'BdD Localisation'!$C$111:$BD$206,40,FALSE))</f>
        <v>0</v>
      </c>
      <c r="AU23" s="269">
        <f>IF(Données!$L$19-3&lt;=Résultats!AU5,0,VLOOKUP(Données!$C$14,'BdD Localisation'!$C$111:$BD$206,40,FALSE))</f>
        <v>0</v>
      </c>
      <c r="AV23" s="269">
        <f>IF(Données!$L$19-3&lt;=Résultats!AV5,0,VLOOKUP(Données!$C$14,'BdD Localisation'!$C$111:$BD$206,40,FALSE))</f>
        <v>0</v>
      </c>
      <c r="AW23" s="269">
        <f>IF(Données!$L$19-3&lt;=Résultats!AW5,0,VLOOKUP(Données!$C$14,'BdD Localisation'!$C$111:$BD$206,40,FALSE))</f>
        <v>0</v>
      </c>
      <c r="AX23" s="269">
        <f>IF(Données!$L$19-3&lt;=Résultats!AX5,0,VLOOKUP(Données!$C$14,'BdD Localisation'!$C$111:$BD$206,40,FALSE))</f>
        <v>0</v>
      </c>
      <c r="AY23" s="269">
        <v>0</v>
      </c>
      <c r="AZ23" s="269">
        <v>0</v>
      </c>
      <c r="BA23" s="269">
        <v>0</v>
      </c>
      <c r="BB23" s="269">
        <v>0</v>
      </c>
      <c r="BC23" s="269">
        <v>0</v>
      </c>
      <c r="BD23" s="269">
        <v>0</v>
      </c>
      <c r="BE23" s="269">
        <v>0</v>
      </c>
      <c r="BF23" s="269">
        <v>0</v>
      </c>
      <c r="BG23" s="269">
        <v>0</v>
      </c>
      <c r="BH23" s="270">
        <v>0</v>
      </c>
      <c r="BI23" s="258">
        <f>SUM(B23:BH23)</f>
        <v>231.80500000000004</v>
      </c>
      <c r="BJ23" s="258" t="s">
        <v>661</v>
      </c>
    </row>
    <row r="24" spans="1:67" s="258" customFormat="1" x14ac:dyDescent="0.2">
      <c r="A24" s="283" t="s">
        <v>627</v>
      </c>
      <c r="B24" s="280">
        <f>IF(Résultats!B$5&gt;'BdD Bâtiment'!$C$6,0.75*'BdD Bâtiment'!$C$52*'BdD Bâtiment'!$C$13*'BdD Bâtiment'!$B$47*(Résultats!B5-'BdD Bâtiment'!$C$6)/(Résultats!B5-'BdD Bâtiment'!C7),0)</f>
        <v>0</v>
      </c>
      <c r="C24" s="280">
        <f>C23*18*(TI-C5)*(Données!$C$39)*Données!$C$19*Données!$F$19/1000</f>
        <v>0</v>
      </c>
      <c r="D24" s="280">
        <f>D23*18*(TI-D5)*(Données!$C$39)*Données!$C$19*Données!$F$19/1000</f>
        <v>0</v>
      </c>
      <c r="E24" s="280">
        <f>E23*18*(TI-E5)*(Données!$C$39)*Données!$C$19*Données!$F$19/1000</f>
        <v>0</v>
      </c>
      <c r="F24" s="280">
        <f>F23*18*(TI-F5)*(Données!$C$39)*Données!$C$19*Données!$F$19/1000</f>
        <v>0</v>
      </c>
      <c r="G24" s="280">
        <f>G23*18*(TI-G5)*(Données!$C$39)*Données!$C$19*Données!$F$19/1000</f>
        <v>0</v>
      </c>
      <c r="H24" s="280">
        <f>H23*18*(TI-H5)*(Données!$C$39)*Données!$C$19*Données!$F$19/1000</f>
        <v>0</v>
      </c>
      <c r="I24" s="280">
        <f>I23*18*(TI-I5)*(Données!$C$39)*Données!$C$19*Données!$F$19/1000</f>
        <v>0</v>
      </c>
      <c r="J24" s="280">
        <f>J23*18*(TI-J5)*(Données!$C$39)*Données!$C$19*Données!$F$19/1000</f>
        <v>0</v>
      </c>
      <c r="K24" s="280">
        <f>K23*18*(TI-K5)*(Données!$C$39)*Données!$C$19*Données!$F$19/1000</f>
        <v>0</v>
      </c>
      <c r="L24" s="280">
        <f>L23*18*(TI-L5)*(Données!$C$39)*Données!$C$19*Données!$F$19/1000</f>
        <v>0</v>
      </c>
      <c r="M24" s="280">
        <f>M23*18*(TI-M5)*(Données!$C$39)*Données!$C$19*Données!$F$19/1000</f>
        <v>0</v>
      </c>
      <c r="N24" s="280">
        <f>N23*18*(TI-N5)*(Données!$C$39)*Données!$C$19*Données!$F$19/1000</f>
        <v>16.038</v>
      </c>
      <c r="O24" s="280">
        <f>O23*18*(TI-O5)*(Données!$C$39)*Données!$C$19*Données!$F$19/1000</f>
        <v>23.327999999999996</v>
      </c>
      <c r="P24" s="280">
        <f>P23*18*(TI-P5)*(Données!$C$39)*Données!$C$19*Données!$F$19/1000</f>
        <v>15.066000000000003</v>
      </c>
      <c r="Q24" s="280">
        <f>Q23*18*(TI-Q5)*(Données!$C$39)*Données!$C$19*Données!$F$19/1000</f>
        <v>21.869999999999997</v>
      </c>
      <c r="R24" s="280">
        <f>R23*18*(TI-R5)*(Données!$C$39)*Données!$C$19*Données!$F$19/1000</f>
        <v>49.329000000000008</v>
      </c>
      <c r="S24" s="280">
        <f>S23*18*(TI-S5)*(Données!$C$39)*Données!$C$19*Données!$F$19/1000</f>
        <v>68.040000000000006</v>
      </c>
      <c r="T24" s="280">
        <f>T23*18*(TI-T5)*(Données!$C$39)*Données!$C$19*Données!$F$19/1000</f>
        <v>104.976</v>
      </c>
      <c r="U24" s="280">
        <f>U23*18*(TI-U5)*(Données!$C$39)*Données!$C$19*Données!$F$19/1000</f>
        <v>208.49399999999997</v>
      </c>
      <c r="V24" s="280">
        <f>V23*18*(TI-V5)*(Données!$C$39)*Données!$C$19*Données!$F$19/1000</f>
        <v>291.60000000000002</v>
      </c>
      <c r="W24" s="280">
        <f>W23*18*(TI-W5)*(Données!$C$39)*Données!$C$19*Données!$F$19/1000</f>
        <v>396.57600000000008</v>
      </c>
      <c r="X24" s="280">
        <f>X23*18*(TI-X5)*(Données!$C$39)*Données!$C$19*Données!$F$19/1000</f>
        <v>396.81900000000002</v>
      </c>
      <c r="Y24" s="280">
        <f>Y23*18*(TI-Y5)*(Données!$C$39)*Données!$C$19*Données!$F$19/1000</f>
        <v>678.94200000000001</v>
      </c>
      <c r="Z24" s="280">
        <f>Z23*18*(TI-Z5)*(Données!$C$39)*Données!$C$19*Données!$F$19/1000</f>
        <v>699.11099999999988</v>
      </c>
      <c r="AA24" s="280">
        <f>AA23*18*(TI-AA5)*(Données!$C$39)*Données!$C$19*Données!$F$19/1000</f>
        <v>821.34</v>
      </c>
      <c r="AB24" s="280">
        <f>AB23*18*(TI-AB5)*(Données!$C$39)*Données!$C$19*Données!$F$19/1000</f>
        <v>904.93200000000002</v>
      </c>
      <c r="AC24" s="280">
        <f>AC23*18*(TI-AC5)*(Données!$C$39)*Données!$C$19*Données!$F$19/1000</f>
        <v>905.41800000000001</v>
      </c>
      <c r="AD24" s="280">
        <f>AD23*18*(TI-AD5)*(Données!$C$39)*Données!$C$19*Données!$F$19/1000</f>
        <v>987.30899999999997</v>
      </c>
      <c r="AE24" s="280">
        <f>AE23*18*(TI-AE5)*(Données!$C$39)*Données!$C$19*Données!$F$19/1000</f>
        <v>1108.08</v>
      </c>
      <c r="AF24" s="280">
        <f>AF23*18*(TI-AF5)*(Données!$C$39)*Données!$C$19*Données!$F$19/1000</f>
        <v>1148.175</v>
      </c>
      <c r="AG24" s="280">
        <f>AG23*18*(TI-AG5)*(Données!$C$39)*Données!$C$19*Données!$F$19/1000</f>
        <v>1013.7959999999999</v>
      </c>
      <c r="AH24" s="280">
        <f>AH23*18*(TI-AH5)*(Données!$C$39)*Données!$C$19*Données!$F$19/1000</f>
        <v>1014.0390000000001</v>
      </c>
      <c r="AI24" s="280">
        <f>AI23*18*(TI-AI5)*(Données!$C$39)*Données!$C$19*Données!$F$19/1000</f>
        <v>921.45600000000002</v>
      </c>
      <c r="AJ24" s="280">
        <f>AJ23*18*(TI-AJ5)*(Données!$C$39)*Données!$C$19*Données!$F$19/1000</f>
        <v>828.63</v>
      </c>
      <c r="AK24" s="280">
        <f>AK23*18*(TI-AK5)*(Données!$C$39)*Données!$C$19*Données!$F$19/1000</f>
        <v>713.32650000000012</v>
      </c>
      <c r="AL24" s="280">
        <f>AL23*18*(TI-AL5)*(Données!$C$39)*Données!$C$19*Données!$F$19/1000</f>
        <v>584.58510000000012</v>
      </c>
      <c r="AM24" s="280">
        <f>AM23*18*(TI-AM5)*(Données!$C$39)*Données!$C$19*Données!$F$19/1000</f>
        <v>452.75760000000002</v>
      </c>
      <c r="AN24" s="280">
        <f>AN23*18*(TI-AN5)*(Données!$C$39)*Données!$C$19*Données!$F$19/1000</f>
        <v>351.25650000000002</v>
      </c>
      <c r="AO24" s="280">
        <f>AO23*18*(TI-AO5)*(Données!$C$39)*Données!$C$19*Données!$F$19/1000</f>
        <v>292.18319999999994</v>
      </c>
      <c r="AP24" s="280">
        <f>AP23*18*(TI-AP5)*(Données!$C$39)*Données!$C$19*Données!$F$19/1000</f>
        <v>167.67</v>
      </c>
      <c r="AQ24" s="280">
        <f>AQ23*18*(TI-AQ5)*(Données!$C$39)*Données!$C$19*Données!$F$19/1000</f>
        <v>111.24539999999999</v>
      </c>
      <c r="AR24" s="280">
        <f>AR23*18*(TI-AR5)*(Données!$C$39)*Données!$C$19*Données!$F$19/1000</f>
        <v>0</v>
      </c>
      <c r="AS24" s="280">
        <f>AS23*18*(TI-AS5)*(Données!$C$39)*Données!$C$19*Données!$F$19/1000</f>
        <v>0</v>
      </c>
      <c r="AT24" s="280">
        <f>AT23*18/2*(TI-AT5)*(Données!$C$39)*Données!$C$19*Données!$F$19/1000</f>
        <v>0</v>
      </c>
      <c r="AU24" s="280">
        <f>AU23*18/2*(TI-AU5)*(Données!$C$39)*Données!$C$19*Données!$F$19/1000</f>
        <v>0</v>
      </c>
      <c r="AV24" s="280">
        <f>AV23*18/2*(TI-AV5)*(Données!$C$39)*Données!$C$19*Données!$F$19/1000</f>
        <v>0</v>
      </c>
      <c r="AW24" s="280">
        <f>AW23*18/2*(TI-AW5)*(Données!$C$39)*Données!$C$19*Données!$F$19/1000</f>
        <v>0</v>
      </c>
      <c r="AX24" s="280">
        <f>AX23*18/2*(TI-AX5)*(Données!$C$39)*Données!$C$19*Données!$F$19/1000</f>
        <v>0</v>
      </c>
      <c r="AY24" s="280">
        <f>AY23*18/2*(TI-AY5)*(Données!$C$39)*Données!$C$19*Données!$F$19/1000</f>
        <v>0</v>
      </c>
      <c r="AZ24" s="280">
        <f>AZ23*18/2*(TI-AZ5)*(Données!$C$39)*Données!$C$19*Données!$F$19/1000</f>
        <v>0</v>
      </c>
      <c r="BA24" s="280">
        <f>BA23*18*(TI-BA5)*(Données!$C$39)*Données!$C$19*Données!$F$19/1000</f>
        <v>0</v>
      </c>
      <c r="BB24" s="280">
        <f>BB23*18*(TI-BB5)*(Données!$C$39)*Données!$C$19*Données!$F$19/1000</f>
        <v>0</v>
      </c>
      <c r="BC24" s="280">
        <f>BC23*18*(TI-BC5)*(Données!$C$39)*Données!$C$19*Données!$F$19/1000</f>
        <v>0</v>
      </c>
      <c r="BD24" s="280">
        <f>BD23*18*(TI-BD5)*(Données!$C$39)*Données!$C$19*Données!$F$19/1000</f>
        <v>0</v>
      </c>
      <c r="BE24" s="280">
        <f>BE23*18*(TI-BE5)*(Données!$C$39)*Données!$C$19*Données!$F$19/1000</f>
        <v>0</v>
      </c>
      <c r="BF24" s="280">
        <f>BF23*18*(TI-BF5)*(Données!$C$39)*Données!$C$19*Données!$F$19/1000</f>
        <v>0</v>
      </c>
      <c r="BG24" s="280">
        <f>BG23*18*(TI-BG5)*(Données!$C$39)*Données!$C$19*Données!$F$19/1000</f>
        <v>0</v>
      </c>
      <c r="BH24" s="281">
        <f>BH23*18*(TI-BH5)*(Données!$C$39)*Données!$C$19*Données!$F$19/1000</f>
        <v>0</v>
      </c>
      <c r="BI24" s="333">
        <f>SUM(B24:BH24)</f>
        <v>15296.388300000001</v>
      </c>
      <c r="BJ24" s="258" t="s">
        <v>653</v>
      </c>
      <c r="BN24" s="322" t="s">
        <v>662</v>
      </c>
      <c r="BO24" s="323"/>
    </row>
    <row r="25" spans="1:67" s="258" customFormat="1" x14ac:dyDescent="0.2">
      <c r="A25" s="338" t="s">
        <v>671</v>
      </c>
      <c r="B25" s="285">
        <f>IF(Données!$C$46='BdD Bâtiment'!$B$63,Résultats!B24*(1-(Données!$L$46/100)),Résultats!B24)</f>
        <v>0</v>
      </c>
      <c r="C25" s="285">
        <f>IF(Données!$C$46='BdD Bâtiment'!$B$63,Résultats!C24*(1-(Données!$L$46/100)),Résultats!C24)</f>
        <v>0</v>
      </c>
      <c r="D25" s="285">
        <f>IF(Données!$C$46='BdD Bâtiment'!$B$63,Résultats!D24*(1-(Données!$L$46/100)),Résultats!D24)</f>
        <v>0</v>
      </c>
      <c r="E25" s="285">
        <f>IF(Données!$C$46='BdD Bâtiment'!$B$63,Résultats!E24*(1-(Données!$L$46/100)),Résultats!E24)</f>
        <v>0</v>
      </c>
      <c r="F25" s="285">
        <f>IF(Données!$C$46='BdD Bâtiment'!$B$63,Résultats!F24*(1-(Données!$L$46/100)),Résultats!F24)</f>
        <v>0</v>
      </c>
      <c r="G25" s="285">
        <f>IF(Données!$C$46='BdD Bâtiment'!$B$63,Résultats!G24*(1-(Données!$L$46/100)),Résultats!G24)</f>
        <v>0</v>
      </c>
      <c r="H25" s="285">
        <f>IF(Données!$C$46='BdD Bâtiment'!$B$63,Résultats!H24*(1-(Données!$L$46/100)),Résultats!H24)</f>
        <v>0</v>
      </c>
      <c r="I25" s="285">
        <f>IF(Données!$C$46='BdD Bâtiment'!$B$63,Résultats!I24*(1-(Données!$L$46/100)),Résultats!I24)</f>
        <v>0</v>
      </c>
      <c r="J25" s="285">
        <f>IF(Données!$C$46='BdD Bâtiment'!$B$63,Résultats!J24*(1-(Données!$L$46/100)),Résultats!J24)</f>
        <v>0</v>
      </c>
      <c r="K25" s="285">
        <f>IF(Données!$C$46='BdD Bâtiment'!$B$63,Résultats!K24*(1-(Données!$L$46/100)),Résultats!K24)</f>
        <v>0</v>
      </c>
      <c r="L25" s="285">
        <f>IF(Données!$C$46='BdD Bâtiment'!$B$63,Résultats!L24*(1-(Données!$L$46/100)),Résultats!L24)</f>
        <v>0</v>
      </c>
      <c r="M25" s="285">
        <f>IF(Données!$C$46='BdD Bâtiment'!$B$63,Résultats!M24*(1-(Données!$L$46/100)),Résultats!M24)</f>
        <v>0</v>
      </c>
      <c r="N25" s="285">
        <f>IF(Données!$C$46='BdD Bâtiment'!$B$63,Résultats!N24*(1-(Données!$L$46/100)),Résultats!N24)</f>
        <v>16.038</v>
      </c>
      <c r="O25" s="285">
        <f>IF(Données!$C$46='BdD Bâtiment'!$B$63,Résultats!O24*(1-(Données!$L$46/100)),Résultats!O24)</f>
        <v>23.327999999999996</v>
      </c>
      <c r="P25" s="285">
        <f>IF(Données!$C$46='BdD Bâtiment'!$B$63,Résultats!P24*(1-(Données!$L$46/100)),Résultats!P24)</f>
        <v>15.066000000000003</v>
      </c>
      <c r="Q25" s="285">
        <f>IF(Données!$C$46='BdD Bâtiment'!$B$63,Résultats!Q24*(1-(Données!$L$46/100)),Résultats!Q24)</f>
        <v>21.869999999999997</v>
      </c>
      <c r="R25" s="285">
        <f>IF(Données!$C$46='BdD Bâtiment'!$B$63,Résultats!R24*(1-(Données!$L$46/100)),Résultats!R24)</f>
        <v>49.329000000000008</v>
      </c>
      <c r="S25" s="285">
        <f>IF(Données!$C$46='BdD Bâtiment'!$B$63,Résultats!S24*(1-(Données!$L$46/100)),Résultats!S24)</f>
        <v>68.040000000000006</v>
      </c>
      <c r="T25" s="285">
        <f>IF(Données!$C$46='BdD Bâtiment'!$B$63,Résultats!T24*(1-(Données!$L$46/100)),Résultats!T24)</f>
        <v>104.976</v>
      </c>
      <c r="U25" s="285">
        <f>IF(Données!$C$46='BdD Bâtiment'!$B$63,Résultats!U24*(1-(Données!$L$46/100)),Résultats!U24)</f>
        <v>208.49399999999997</v>
      </c>
      <c r="V25" s="285">
        <f>IF(Données!$C$46='BdD Bâtiment'!$B$63,Résultats!V24*(1-(Données!$L$46/100)),Résultats!V24)</f>
        <v>291.60000000000002</v>
      </c>
      <c r="W25" s="285">
        <f>IF(Données!$C$46='BdD Bâtiment'!$B$63,Résultats!W24*(1-(Données!$L$46/100)),Résultats!W24)</f>
        <v>396.57600000000008</v>
      </c>
      <c r="X25" s="285">
        <f>IF(Données!$C$46='BdD Bâtiment'!$B$63,Résultats!X24*(1-(Données!$L$46/100)),Résultats!X24)</f>
        <v>396.81900000000002</v>
      </c>
      <c r="Y25" s="285">
        <f>IF(Données!$C$46='BdD Bâtiment'!$B$63,Résultats!Y24*(1-(Données!$L$46/100)),Résultats!Y24)</f>
        <v>678.94200000000001</v>
      </c>
      <c r="Z25" s="285">
        <f>IF(Données!$C$46='BdD Bâtiment'!$B$63,Résultats!Z24*(1-(Données!$L$46/100)),Résultats!Z24)</f>
        <v>699.11099999999988</v>
      </c>
      <c r="AA25" s="285">
        <f>IF(Données!$C$46='BdD Bâtiment'!$B$63,Résultats!AA24*(1-(Données!$L$46/100)),Résultats!AA24)</f>
        <v>821.34</v>
      </c>
      <c r="AB25" s="285">
        <f>IF(Données!$C$46='BdD Bâtiment'!$B$63,Résultats!AB24*(1-(Données!$L$46/100)),Résultats!AB24)</f>
        <v>904.93200000000002</v>
      </c>
      <c r="AC25" s="285">
        <f>IF(Données!$C$46='BdD Bâtiment'!$B$63,Résultats!AC24*(1-(Données!$L$46/100)),Résultats!AC24)</f>
        <v>905.41800000000001</v>
      </c>
      <c r="AD25" s="285">
        <f>IF(Données!$C$46='BdD Bâtiment'!$B$63,Résultats!AD24*(1-(Données!$L$46/100)),Résultats!AD24)</f>
        <v>987.30899999999997</v>
      </c>
      <c r="AE25" s="285">
        <f>IF(Données!$C$46='BdD Bâtiment'!$B$63,Résultats!AE24*(1-(Données!$L$46/100)),Résultats!AE24)</f>
        <v>1108.08</v>
      </c>
      <c r="AF25" s="285">
        <f>IF(Données!$C$46='BdD Bâtiment'!$B$63,Résultats!AF24*(1-(Données!$L$46/100)),Résultats!AF24)</f>
        <v>1148.175</v>
      </c>
      <c r="AG25" s="285">
        <f>IF(Données!$C$46='BdD Bâtiment'!$B$63,Résultats!AG24*(1-(Données!$L$46/100)),Résultats!AG24)</f>
        <v>1013.7959999999999</v>
      </c>
      <c r="AH25" s="285">
        <f>IF(Données!$C$46='BdD Bâtiment'!$B$63,Résultats!AH24*(1-(Données!$L$46/100)),Résultats!AH24)</f>
        <v>1014.0390000000001</v>
      </c>
      <c r="AI25" s="285">
        <f>IF(Données!$C$46='BdD Bâtiment'!$B$63,Résultats!AI24*(1-(Données!$L$46/100)),Résultats!AI24)</f>
        <v>921.45600000000002</v>
      </c>
      <c r="AJ25" s="285">
        <f>IF(Données!$C$46='BdD Bâtiment'!$B$63,Résultats!AJ24*(1-(Données!$L$46/100)),Résultats!AJ24)</f>
        <v>828.63</v>
      </c>
      <c r="AK25" s="285">
        <f>IF(Données!$C$46='BdD Bâtiment'!$B$63,Résultats!AK24*(1-(Données!$L$46/100)),Résultats!AK24)</f>
        <v>713.32650000000012</v>
      </c>
      <c r="AL25" s="285">
        <f>IF(Données!$C$46='BdD Bâtiment'!$B$63,Résultats!AL24*(1-(Données!$L$46/100)),Résultats!AL24)</f>
        <v>584.58510000000012</v>
      </c>
      <c r="AM25" s="285">
        <f>IF(Données!$C$46='BdD Bâtiment'!$B$63,Résultats!AM24*(1-(Données!$L$46/100)),Résultats!AM24)</f>
        <v>452.75760000000002</v>
      </c>
      <c r="AN25" s="285">
        <f>IF(Données!$C$46='BdD Bâtiment'!$B$63,Résultats!AN24*(1-(Données!$L$46/100)),Résultats!AN24)</f>
        <v>351.25650000000002</v>
      </c>
      <c r="AO25" s="285">
        <f>IF(Données!$C$46='BdD Bâtiment'!$B$63,Résultats!AO24*(1-(Données!$L$46/100)),Résultats!AO24)</f>
        <v>292.18319999999994</v>
      </c>
      <c r="AP25" s="285">
        <f>IF(Données!$C$46='BdD Bâtiment'!$B$63,Résultats!AP24*(1-(Données!$L$46/100)),Résultats!AP24)</f>
        <v>167.67</v>
      </c>
      <c r="AQ25" s="285">
        <f>IF(Données!$C$46='BdD Bâtiment'!$B$63,Résultats!AQ24*(1-(Données!$L$46/100)),Résultats!AQ24)</f>
        <v>111.24539999999999</v>
      </c>
      <c r="AR25" s="285">
        <f>IF(Données!$C$46='BdD Bâtiment'!$B$63,Résultats!AR24*(1-(Données!$L$46/100)),Résultats!AR24)</f>
        <v>0</v>
      </c>
      <c r="AS25" s="285">
        <f>IF(Données!$C$46='BdD Bâtiment'!$B$63,Résultats!AS24*(1-(Données!$L$46/100)),Résultats!AS24)</f>
        <v>0</v>
      </c>
      <c r="AT25" s="285">
        <f>IF(Données!$C$46='BdD Bâtiment'!$B$63,Résultats!AT24*(1-(Données!$L$46/100)),Résultats!AT24)</f>
        <v>0</v>
      </c>
      <c r="AU25" s="285">
        <f>IF(Données!$C$46='BdD Bâtiment'!$B$63,Résultats!AU24*(1-(Données!$L$46/100)),Résultats!AU24)</f>
        <v>0</v>
      </c>
      <c r="AV25" s="285">
        <f>IF(Données!$C$46='BdD Bâtiment'!$B$63,Résultats!AV24*(1-(Données!$L$46/100)),Résultats!AV24)</f>
        <v>0</v>
      </c>
      <c r="AW25" s="285">
        <f>IF(Données!$C$46='BdD Bâtiment'!$B$63,Résultats!AW24*(1-(Données!$L$46/100)),Résultats!AW24)</f>
        <v>0</v>
      </c>
      <c r="AX25" s="285">
        <f>IF(Données!$C$46='BdD Bâtiment'!$B$63,Résultats!AX24*(1-(Données!$L$46/100)),Résultats!AX24)</f>
        <v>0</v>
      </c>
      <c r="AY25" s="285">
        <f>IF(Données!$C$46='BdD Bâtiment'!$B$63,Résultats!AY24*(1-(Données!$L$46/100)),Résultats!AY24)</f>
        <v>0</v>
      </c>
      <c r="AZ25" s="285">
        <f>IF(Données!$C$46='BdD Bâtiment'!$B$63,Résultats!AZ24*(1-(Données!$L$46/100)),Résultats!AZ24)</f>
        <v>0</v>
      </c>
      <c r="BA25" s="285">
        <f>IF(Données!$C$46='BdD Bâtiment'!$B$63,Résultats!BA24*(1-(Données!$L$46/100)),Résultats!BA24)</f>
        <v>0</v>
      </c>
      <c r="BB25" s="285">
        <f>IF(Données!$C$46='BdD Bâtiment'!$B$63,Résultats!BB24*(1-(Données!$L$46/100)),Résultats!BB24)</f>
        <v>0</v>
      </c>
      <c r="BC25" s="285">
        <f>IF(Données!$C$46='BdD Bâtiment'!$B$63,Résultats!BC24*(1-(Données!$L$46/100)),Résultats!BC24)</f>
        <v>0</v>
      </c>
      <c r="BD25" s="285">
        <f>IF(Données!$C$46='BdD Bâtiment'!$B$63,Résultats!BD24*(1-(Données!$L$46/100)),Résultats!BD24)</f>
        <v>0</v>
      </c>
      <c r="BE25" s="285">
        <f>IF(Données!$C$46='BdD Bâtiment'!$B$63,Résultats!BE24*(1-(Données!$L$46/100)),Résultats!BE24)</f>
        <v>0</v>
      </c>
      <c r="BF25" s="285">
        <f>IF(Données!$C$46='BdD Bâtiment'!$B$63,Résultats!BF24*(1-(Données!$L$46/100)),Résultats!BF24)</f>
        <v>0</v>
      </c>
      <c r="BG25" s="285">
        <f>IF(Données!$C$46='BdD Bâtiment'!$B$63,Résultats!BG24*(1-(Données!$L$46/100)),Résultats!BG24)</f>
        <v>0</v>
      </c>
      <c r="BH25" s="285">
        <f>IF(Données!$C$46='BdD Bâtiment'!$B$63,Résultats!BH24*(1-(Données!$L$46/100)),Résultats!BH24)</f>
        <v>0</v>
      </c>
      <c r="BI25" s="333">
        <f>SUM(B25:BH25)</f>
        <v>15296.388300000001</v>
      </c>
      <c r="BJ25" s="258" t="s">
        <v>653</v>
      </c>
      <c r="BN25" s="335"/>
      <c r="BO25" s="336"/>
    </row>
    <row r="26" spans="1:67" s="190" customFormat="1" x14ac:dyDescent="0.2">
      <c r="A26" s="272" t="s">
        <v>354</v>
      </c>
      <c r="B26" s="264">
        <f t="shared" ref="B26:AG26" si="7">B23/$BI$23</f>
        <v>0</v>
      </c>
      <c r="C26" s="264">
        <f t="shared" si="7"/>
        <v>0</v>
      </c>
      <c r="D26" s="264">
        <f t="shared" si="7"/>
        <v>0</v>
      </c>
      <c r="E26" s="264">
        <f t="shared" si="7"/>
        <v>0</v>
      </c>
      <c r="F26" s="264">
        <f t="shared" si="7"/>
        <v>0</v>
      </c>
      <c r="G26" s="264">
        <f t="shared" si="7"/>
        <v>0</v>
      </c>
      <c r="H26" s="264">
        <f t="shared" si="7"/>
        <v>0</v>
      </c>
      <c r="I26" s="264">
        <f t="shared" si="7"/>
        <v>0</v>
      </c>
      <c r="J26" s="264">
        <f t="shared" si="7"/>
        <v>0</v>
      </c>
      <c r="K26" s="264">
        <f t="shared" si="7"/>
        <v>0</v>
      </c>
      <c r="L26" s="264">
        <f t="shared" si="7"/>
        <v>0</v>
      </c>
      <c r="M26" s="264">
        <f t="shared" si="7"/>
        <v>0</v>
      </c>
      <c r="N26" s="264">
        <f t="shared" si="7"/>
        <v>4.3139707944177215E-4</v>
      </c>
      <c r="O26" s="264">
        <f t="shared" si="7"/>
        <v>6.4709561916265819E-4</v>
      </c>
      <c r="P26" s="264">
        <f t="shared" si="7"/>
        <v>4.3139707944177215E-4</v>
      </c>
      <c r="Q26" s="264">
        <f t="shared" si="7"/>
        <v>6.4709561916265819E-4</v>
      </c>
      <c r="R26" s="264">
        <f t="shared" si="7"/>
        <v>1.5098897780462023E-3</v>
      </c>
      <c r="S26" s="264">
        <f t="shared" si="7"/>
        <v>2.1569853972088606E-3</v>
      </c>
      <c r="T26" s="264">
        <f t="shared" si="7"/>
        <v>3.4511766355341772E-3</v>
      </c>
      <c r="U26" s="264">
        <f t="shared" si="7"/>
        <v>7.1180518107892398E-3</v>
      </c>
      <c r="V26" s="264">
        <f t="shared" si="7"/>
        <v>1.0353529906602531E-2</v>
      </c>
      <c r="W26" s="264">
        <f t="shared" si="7"/>
        <v>1.4667500701020252E-2</v>
      </c>
      <c r="X26" s="264">
        <f t="shared" si="7"/>
        <v>1.5314596320182909E-2</v>
      </c>
      <c r="Y26" s="264">
        <f t="shared" si="7"/>
        <v>2.7393714544552528E-2</v>
      </c>
      <c r="Z26" s="264">
        <f t="shared" si="7"/>
        <v>2.9550699941761387E-2</v>
      </c>
      <c r="AA26" s="264">
        <f t="shared" si="7"/>
        <v>3.6453053212829739E-2</v>
      </c>
      <c r="AB26" s="264">
        <f t="shared" si="7"/>
        <v>4.227691378529367E-2</v>
      </c>
      <c r="AC26" s="264">
        <f t="shared" si="7"/>
        <v>4.4649597722223412E-2</v>
      </c>
      <c r="AD26" s="264">
        <f t="shared" si="7"/>
        <v>5.1551950993291767E-2</v>
      </c>
      <c r="AE26" s="264">
        <f t="shared" si="7"/>
        <v>6.1474083820452524E-2</v>
      </c>
      <c r="AF26" s="264">
        <f t="shared" si="7"/>
        <v>6.7945040012079114E-2</v>
      </c>
      <c r="AG26" s="264">
        <f t="shared" si="7"/>
        <v>6.4278164836824053E-2</v>
      </c>
      <c r="AH26" s="264">
        <f t="shared" ref="AH26:BH26" si="8">AH23/$BI$23</f>
        <v>6.9239231250404432E-2</v>
      </c>
      <c r="AI26" s="264">
        <f t="shared" si="8"/>
        <v>6.8160738551799993E-2</v>
      </c>
      <c r="AJ26" s="264">
        <f t="shared" si="8"/>
        <v>6.6866547313474675E-2</v>
      </c>
      <c r="AK26" s="264">
        <f t="shared" si="8"/>
        <v>6.3318306335066091E-2</v>
      </c>
      <c r="AL26" s="264">
        <f t="shared" si="8"/>
        <v>5.7656219667392844E-2</v>
      </c>
      <c r="AM26" s="264">
        <f t="shared" si="8"/>
        <v>5.0236189900994363E-2</v>
      </c>
      <c r="AN26" s="264">
        <f t="shared" si="8"/>
        <v>4.4541748452362966E-2</v>
      </c>
      <c r="AO26" s="264">
        <f t="shared" si="8"/>
        <v>4.3225987360065561E-2</v>
      </c>
      <c r="AP26" s="264">
        <f t="shared" si="8"/>
        <v>2.9766398481482277E-2</v>
      </c>
      <c r="AQ26" s="264">
        <f t="shared" si="8"/>
        <v>2.4686697871055409E-2</v>
      </c>
      <c r="AR26" s="264">
        <f t="shared" si="8"/>
        <v>0</v>
      </c>
      <c r="AS26" s="264">
        <f t="shared" si="8"/>
        <v>0</v>
      </c>
      <c r="AT26" s="264">
        <f t="shared" si="8"/>
        <v>0</v>
      </c>
      <c r="AU26" s="264">
        <f t="shared" si="8"/>
        <v>0</v>
      </c>
      <c r="AV26" s="264">
        <f t="shared" si="8"/>
        <v>0</v>
      </c>
      <c r="AW26" s="264">
        <f t="shared" si="8"/>
        <v>0</v>
      </c>
      <c r="AX26" s="264">
        <f t="shared" si="8"/>
        <v>0</v>
      </c>
      <c r="AY26" s="264">
        <f t="shared" si="8"/>
        <v>0</v>
      </c>
      <c r="AZ26" s="264">
        <f t="shared" si="8"/>
        <v>0</v>
      </c>
      <c r="BA26" s="264">
        <f t="shared" si="8"/>
        <v>0</v>
      </c>
      <c r="BB26" s="264">
        <f t="shared" si="8"/>
        <v>0</v>
      </c>
      <c r="BC26" s="264">
        <f t="shared" si="8"/>
        <v>0</v>
      </c>
      <c r="BD26" s="264">
        <f t="shared" si="8"/>
        <v>0</v>
      </c>
      <c r="BE26" s="264">
        <f t="shared" si="8"/>
        <v>0</v>
      </c>
      <c r="BF26" s="264">
        <f t="shared" si="8"/>
        <v>0</v>
      </c>
      <c r="BG26" s="264">
        <f t="shared" si="8"/>
        <v>0</v>
      </c>
      <c r="BH26" s="273">
        <f t="shared" si="8"/>
        <v>0</v>
      </c>
      <c r="BI26" s="190">
        <f>SUM(B26:BH26)</f>
        <v>0.99999999999999967</v>
      </c>
      <c r="BN26" s="324" t="s">
        <v>345</v>
      </c>
      <c r="BO26" s="325">
        <f>$BI$16/$BI$10</f>
        <v>0.9041666666666669</v>
      </c>
    </row>
    <row r="27" spans="1:67" s="190" customFormat="1" ht="13.5" thickBot="1" x14ac:dyDescent="0.25">
      <c r="A27" s="295" t="s">
        <v>656</v>
      </c>
      <c r="B27" s="274">
        <f>B23</f>
        <v>0</v>
      </c>
      <c r="C27" s="274">
        <f t="shared" ref="C27:AH27" si="9">B27+C23</f>
        <v>0</v>
      </c>
      <c r="D27" s="274">
        <f t="shared" si="9"/>
        <v>0</v>
      </c>
      <c r="E27" s="274">
        <f t="shared" si="9"/>
        <v>0</v>
      </c>
      <c r="F27" s="274">
        <f t="shared" si="9"/>
        <v>0</v>
      </c>
      <c r="G27" s="274">
        <f t="shared" si="9"/>
        <v>0</v>
      </c>
      <c r="H27" s="274">
        <f t="shared" si="9"/>
        <v>0</v>
      </c>
      <c r="I27" s="274">
        <f t="shared" si="9"/>
        <v>0</v>
      </c>
      <c r="J27" s="274">
        <f t="shared" si="9"/>
        <v>0</v>
      </c>
      <c r="K27" s="274">
        <f t="shared" si="9"/>
        <v>0</v>
      </c>
      <c r="L27" s="274">
        <f t="shared" si="9"/>
        <v>0</v>
      </c>
      <c r="M27" s="274">
        <f t="shared" si="9"/>
        <v>0</v>
      </c>
      <c r="N27" s="274">
        <f t="shared" si="9"/>
        <v>0.1</v>
      </c>
      <c r="O27" s="274">
        <f t="shared" si="9"/>
        <v>0.25</v>
      </c>
      <c r="P27" s="274">
        <f t="shared" si="9"/>
        <v>0.35</v>
      </c>
      <c r="Q27" s="274">
        <f t="shared" si="9"/>
        <v>0.5</v>
      </c>
      <c r="R27" s="274">
        <f t="shared" si="9"/>
        <v>0.85</v>
      </c>
      <c r="S27" s="274">
        <f t="shared" si="9"/>
        <v>1.35</v>
      </c>
      <c r="T27" s="274">
        <f t="shared" si="9"/>
        <v>2.1500000000000004</v>
      </c>
      <c r="U27" s="274">
        <f t="shared" si="9"/>
        <v>3.8000000000000003</v>
      </c>
      <c r="V27" s="274">
        <f t="shared" si="9"/>
        <v>6.2</v>
      </c>
      <c r="W27" s="274">
        <f t="shared" si="9"/>
        <v>9.6</v>
      </c>
      <c r="X27" s="274">
        <f t="shared" si="9"/>
        <v>13.149999999999999</v>
      </c>
      <c r="Y27" s="274">
        <f t="shared" si="9"/>
        <v>19.5</v>
      </c>
      <c r="Z27" s="274">
        <f t="shared" si="9"/>
        <v>26.35</v>
      </c>
      <c r="AA27" s="274">
        <f t="shared" si="9"/>
        <v>34.799999999999997</v>
      </c>
      <c r="AB27" s="274">
        <f t="shared" si="9"/>
        <v>44.599999999999994</v>
      </c>
      <c r="AC27" s="274">
        <f t="shared" si="9"/>
        <v>54.949999999999996</v>
      </c>
      <c r="AD27" s="274">
        <f t="shared" si="9"/>
        <v>66.899999999999991</v>
      </c>
      <c r="AE27" s="274">
        <f t="shared" si="9"/>
        <v>81.149999999999991</v>
      </c>
      <c r="AF27" s="274">
        <f t="shared" si="9"/>
        <v>96.899999999999991</v>
      </c>
      <c r="AG27" s="274">
        <f t="shared" si="9"/>
        <v>111.8</v>
      </c>
      <c r="AH27" s="274">
        <f t="shared" si="9"/>
        <v>127.85</v>
      </c>
      <c r="AI27" s="274">
        <f t="shared" ref="AI27:BH27" si="10">AH27+AI23</f>
        <v>143.65</v>
      </c>
      <c r="AJ27" s="274">
        <f t="shared" si="10"/>
        <v>159.15</v>
      </c>
      <c r="AK27" s="274">
        <f t="shared" si="10"/>
        <v>173.82750000000001</v>
      </c>
      <c r="AL27" s="274">
        <f t="shared" si="10"/>
        <v>187.19250000000002</v>
      </c>
      <c r="AM27" s="274">
        <f t="shared" si="10"/>
        <v>198.83750000000003</v>
      </c>
      <c r="AN27" s="274">
        <f t="shared" si="10"/>
        <v>209.16250000000002</v>
      </c>
      <c r="AO27" s="274">
        <f t="shared" si="10"/>
        <v>219.18250000000003</v>
      </c>
      <c r="AP27" s="274">
        <f t="shared" si="10"/>
        <v>226.08250000000004</v>
      </c>
      <c r="AQ27" s="274">
        <f t="shared" si="10"/>
        <v>231.80500000000004</v>
      </c>
      <c r="AR27" s="274">
        <f t="shared" si="10"/>
        <v>231.80500000000004</v>
      </c>
      <c r="AS27" s="274">
        <f t="shared" si="10"/>
        <v>231.80500000000004</v>
      </c>
      <c r="AT27" s="274">
        <f t="shared" si="10"/>
        <v>231.80500000000004</v>
      </c>
      <c r="AU27" s="274">
        <f t="shared" si="10"/>
        <v>231.80500000000004</v>
      </c>
      <c r="AV27" s="274">
        <f t="shared" si="10"/>
        <v>231.80500000000004</v>
      </c>
      <c r="AW27" s="274">
        <f t="shared" si="10"/>
        <v>231.80500000000004</v>
      </c>
      <c r="AX27" s="274">
        <f t="shared" si="10"/>
        <v>231.80500000000004</v>
      </c>
      <c r="AY27" s="274">
        <f t="shared" si="10"/>
        <v>231.80500000000004</v>
      </c>
      <c r="AZ27" s="274">
        <f t="shared" si="10"/>
        <v>231.80500000000004</v>
      </c>
      <c r="BA27" s="274">
        <f t="shared" si="10"/>
        <v>231.80500000000004</v>
      </c>
      <c r="BB27" s="274">
        <f t="shared" si="10"/>
        <v>231.80500000000004</v>
      </c>
      <c r="BC27" s="274">
        <f t="shared" si="10"/>
        <v>231.80500000000004</v>
      </c>
      <c r="BD27" s="274">
        <f t="shared" si="10"/>
        <v>231.80500000000004</v>
      </c>
      <c r="BE27" s="274">
        <f t="shared" si="10"/>
        <v>231.80500000000004</v>
      </c>
      <c r="BF27" s="274">
        <f t="shared" si="10"/>
        <v>231.80500000000004</v>
      </c>
      <c r="BG27" s="274">
        <f t="shared" si="10"/>
        <v>231.80500000000004</v>
      </c>
      <c r="BH27" s="275">
        <f t="shared" si="10"/>
        <v>231.80500000000004</v>
      </c>
      <c r="BN27" s="324" t="s">
        <v>111</v>
      </c>
      <c r="BO27" s="325">
        <f>EBois/$BI$25</f>
        <v>0.95030922001117413</v>
      </c>
    </row>
    <row r="28" spans="1:67" s="190" customFormat="1" x14ac:dyDescent="0.2">
      <c r="A28" s="514" t="s">
        <v>727</v>
      </c>
      <c r="B28" s="214"/>
      <c r="C28" s="214"/>
      <c r="D28" s="214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71"/>
      <c r="BN28" s="324"/>
      <c r="BO28" s="325"/>
    </row>
    <row r="29" spans="1:67" s="190" customFormat="1" x14ac:dyDescent="0.2">
      <c r="A29" s="515" t="s">
        <v>728</v>
      </c>
      <c r="B29" s="214">
        <f>IFERROR(IF(B23&lt;1,B25,B25/B23),0)</f>
        <v>0</v>
      </c>
      <c r="C29" s="214">
        <f t="shared" ref="C29:BH29" si="11">IFERROR(IF(C23&lt;1,C25,C25/C23),0)</f>
        <v>0</v>
      </c>
      <c r="D29" s="214">
        <f t="shared" si="11"/>
        <v>0</v>
      </c>
      <c r="E29" s="214">
        <f t="shared" si="11"/>
        <v>0</v>
      </c>
      <c r="F29" s="214">
        <f t="shared" si="11"/>
        <v>0</v>
      </c>
      <c r="G29" s="214">
        <f t="shared" si="11"/>
        <v>0</v>
      </c>
      <c r="H29" s="214">
        <f t="shared" si="11"/>
        <v>0</v>
      </c>
      <c r="I29" s="214">
        <f t="shared" si="11"/>
        <v>0</v>
      </c>
      <c r="J29" s="214">
        <f t="shared" si="11"/>
        <v>0</v>
      </c>
      <c r="K29" s="214">
        <f t="shared" si="11"/>
        <v>0</v>
      </c>
      <c r="L29" s="214">
        <f t="shared" si="11"/>
        <v>0</v>
      </c>
      <c r="M29" s="214">
        <f t="shared" si="11"/>
        <v>0</v>
      </c>
      <c r="N29" s="214">
        <f t="shared" si="11"/>
        <v>16.038</v>
      </c>
      <c r="O29" s="214">
        <f t="shared" si="11"/>
        <v>23.327999999999996</v>
      </c>
      <c r="P29" s="214">
        <f t="shared" si="11"/>
        <v>15.066000000000003</v>
      </c>
      <c r="Q29" s="214">
        <f t="shared" si="11"/>
        <v>21.869999999999997</v>
      </c>
      <c r="R29" s="214">
        <f t="shared" si="11"/>
        <v>49.329000000000008</v>
      </c>
      <c r="S29" s="214">
        <f t="shared" si="11"/>
        <v>68.040000000000006</v>
      </c>
      <c r="T29" s="214">
        <f t="shared" si="11"/>
        <v>104.976</v>
      </c>
      <c r="U29" s="214">
        <f t="shared" si="11"/>
        <v>126.35999999999999</v>
      </c>
      <c r="V29" s="214">
        <f t="shared" si="11"/>
        <v>121.50000000000001</v>
      </c>
      <c r="W29" s="214">
        <f t="shared" si="11"/>
        <v>116.64000000000003</v>
      </c>
      <c r="X29" s="214">
        <f t="shared" si="11"/>
        <v>111.78000000000002</v>
      </c>
      <c r="Y29" s="214">
        <f t="shared" si="11"/>
        <v>106.92</v>
      </c>
      <c r="Z29" s="214">
        <f t="shared" si="11"/>
        <v>102.05999999999999</v>
      </c>
      <c r="AA29" s="214">
        <f t="shared" si="11"/>
        <v>97.200000000000017</v>
      </c>
      <c r="AB29" s="214">
        <f t="shared" si="11"/>
        <v>92.339999999999989</v>
      </c>
      <c r="AC29" s="214">
        <f t="shared" si="11"/>
        <v>87.48</v>
      </c>
      <c r="AD29" s="214">
        <f t="shared" si="11"/>
        <v>82.62</v>
      </c>
      <c r="AE29" s="214">
        <f t="shared" si="11"/>
        <v>77.759999999999991</v>
      </c>
      <c r="AF29" s="214">
        <f t="shared" si="11"/>
        <v>72.899999999999991</v>
      </c>
      <c r="AG29" s="214">
        <f t="shared" si="11"/>
        <v>68.039999999999992</v>
      </c>
      <c r="AH29" s="214">
        <f t="shared" si="11"/>
        <v>63.180000000000007</v>
      </c>
      <c r="AI29" s="214">
        <f t="shared" si="11"/>
        <v>58.32</v>
      </c>
      <c r="AJ29" s="214">
        <f t="shared" si="11"/>
        <v>53.46</v>
      </c>
      <c r="AK29" s="214">
        <f t="shared" si="11"/>
        <v>48.600000000000016</v>
      </c>
      <c r="AL29" s="214">
        <f t="shared" si="11"/>
        <v>43.740000000000009</v>
      </c>
      <c r="AM29" s="214">
        <f t="shared" si="11"/>
        <v>38.880000000000003</v>
      </c>
      <c r="AN29" s="214">
        <f t="shared" si="11"/>
        <v>34.020000000000003</v>
      </c>
      <c r="AO29" s="214">
        <f t="shared" si="11"/>
        <v>29.159999999999997</v>
      </c>
      <c r="AP29" s="214">
        <f t="shared" si="11"/>
        <v>24.299999999999997</v>
      </c>
      <c r="AQ29" s="214">
        <f t="shared" si="11"/>
        <v>19.439999999999998</v>
      </c>
      <c r="AR29" s="214">
        <f t="shared" si="11"/>
        <v>0</v>
      </c>
      <c r="AS29" s="214">
        <f t="shared" si="11"/>
        <v>0</v>
      </c>
      <c r="AT29" s="214">
        <f t="shared" si="11"/>
        <v>0</v>
      </c>
      <c r="AU29" s="214">
        <f t="shared" si="11"/>
        <v>0</v>
      </c>
      <c r="AV29" s="214">
        <f t="shared" si="11"/>
        <v>0</v>
      </c>
      <c r="AW29" s="214">
        <f t="shared" si="11"/>
        <v>0</v>
      </c>
      <c r="AX29" s="214">
        <f t="shared" si="11"/>
        <v>0</v>
      </c>
      <c r="AY29" s="214">
        <f t="shared" si="11"/>
        <v>0</v>
      </c>
      <c r="AZ29" s="214">
        <f t="shared" si="11"/>
        <v>0</v>
      </c>
      <c r="BA29" s="214">
        <f t="shared" si="11"/>
        <v>0</v>
      </c>
      <c r="BB29" s="214">
        <f t="shared" si="11"/>
        <v>0</v>
      </c>
      <c r="BC29" s="214">
        <f t="shared" si="11"/>
        <v>0</v>
      </c>
      <c r="BD29" s="214">
        <f t="shared" si="11"/>
        <v>0</v>
      </c>
      <c r="BE29" s="214">
        <f t="shared" si="11"/>
        <v>0</v>
      </c>
      <c r="BF29" s="214">
        <f t="shared" si="11"/>
        <v>0</v>
      </c>
      <c r="BG29" s="214">
        <f t="shared" si="11"/>
        <v>0</v>
      </c>
      <c r="BH29" s="214">
        <f t="shared" si="11"/>
        <v>0</v>
      </c>
      <c r="BI29" s="333">
        <f>MAX(B29:BH29)</f>
        <v>126.35999999999999</v>
      </c>
      <c r="BN29" s="324"/>
      <c r="BO29" s="325"/>
    </row>
    <row r="30" spans="1:67" s="190" customFormat="1" x14ac:dyDescent="0.2">
      <c r="A30" s="515" t="s">
        <v>729</v>
      </c>
      <c r="B30" s="214">
        <f>IF(Chaudières!C35=Chaudières!F6,Chaudières!F14,IF(Chaudières!C35=Chaudières!I6,Chaudières!I14,0))</f>
        <v>0</v>
      </c>
      <c r="C30" s="214" t="s">
        <v>730</v>
      </c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71"/>
      <c r="BN30" s="324"/>
      <c r="BO30" s="325"/>
    </row>
    <row r="31" spans="1:67" s="190" customFormat="1" x14ac:dyDescent="0.2">
      <c r="A31" s="515" t="s">
        <v>731</v>
      </c>
      <c r="B31" s="248" t="e">
        <f>IF($B$30&gt;B29,1,$B$30/B29)</f>
        <v>#DIV/0!</v>
      </c>
      <c r="C31" s="248" t="e">
        <f t="shared" ref="C31:BH31" si="12">IF($B$30&gt;C29,1,$B$30/C29)</f>
        <v>#DIV/0!</v>
      </c>
      <c r="D31" s="248" t="e">
        <f t="shared" si="12"/>
        <v>#DIV/0!</v>
      </c>
      <c r="E31" s="248" t="e">
        <f t="shared" si="12"/>
        <v>#DIV/0!</v>
      </c>
      <c r="F31" s="248" t="e">
        <f t="shared" si="12"/>
        <v>#DIV/0!</v>
      </c>
      <c r="G31" s="248" t="e">
        <f t="shared" si="12"/>
        <v>#DIV/0!</v>
      </c>
      <c r="H31" s="248" t="e">
        <f t="shared" si="12"/>
        <v>#DIV/0!</v>
      </c>
      <c r="I31" s="248" t="e">
        <f t="shared" si="12"/>
        <v>#DIV/0!</v>
      </c>
      <c r="J31" s="248" t="e">
        <f t="shared" si="12"/>
        <v>#DIV/0!</v>
      </c>
      <c r="K31" s="248" t="e">
        <f t="shared" si="12"/>
        <v>#DIV/0!</v>
      </c>
      <c r="L31" s="248" t="e">
        <f t="shared" si="12"/>
        <v>#DIV/0!</v>
      </c>
      <c r="M31" s="248" t="e">
        <f t="shared" si="12"/>
        <v>#DIV/0!</v>
      </c>
      <c r="N31" s="248">
        <f t="shared" si="12"/>
        <v>0</v>
      </c>
      <c r="O31" s="248">
        <f t="shared" si="12"/>
        <v>0</v>
      </c>
      <c r="P31" s="248">
        <f t="shared" si="12"/>
        <v>0</v>
      </c>
      <c r="Q31" s="248">
        <f t="shared" si="12"/>
        <v>0</v>
      </c>
      <c r="R31" s="248">
        <f t="shared" si="12"/>
        <v>0</v>
      </c>
      <c r="S31" s="248">
        <f t="shared" si="12"/>
        <v>0</v>
      </c>
      <c r="T31" s="248">
        <f t="shared" si="12"/>
        <v>0</v>
      </c>
      <c r="U31" s="248">
        <f t="shared" si="12"/>
        <v>0</v>
      </c>
      <c r="V31" s="248">
        <f t="shared" si="12"/>
        <v>0</v>
      </c>
      <c r="W31" s="248">
        <f t="shared" si="12"/>
        <v>0</v>
      </c>
      <c r="X31" s="248">
        <f t="shared" si="12"/>
        <v>0</v>
      </c>
      <c r="Y31" s="248">
        <f t="shared" si="12"/>
        <v>0</v>
      </c>
      <c r="Z31" s="248">
        <f t="shared" si="12"/>
        <v>0</v>
      </c>
      <c r="AA31" s="248">
        <f t="shared" si="12"/>
        <v>0</v>
      </c>
      <c r="AB31" s="248">
        <f t="shared" si="12"/>
        <v>0</v>
      </c>
      <c r="AC31" s="248">
        <f t="shared" si="12"/>
        <v>0</v>
      </c>
      <c r="AD31" s="248">
        <f t="shared" si="12"/>
        <v>0</v>
      </c>
      <c r="AE31" s="248">
        <f t="shared" si="12"/>
        <v>0</v>
      </c>
      <c r="AF31" s="248">
        <f t="shared" si="12"/>
        <v>0</v>
      </c>
      <c r="AG31" s="248">
        <f t="shared" si="12"/>
        <v>0</v>
      </c>
      <c r="AH31" s="248">
        <f t="shared" si="12"/>
        <v>0</v>
      </c>
      <c r="AI31" s="248">
        <f t="shared" si="12"/>
        <v>0</v>
      </c>
      <c r="AJ31" s="248">
        <f t="shared" si="12"/>
        <v>0</v>
      </c>
      <c r="AK31" s="248">
        <f t="shared" si="12"/>
        <v>0</v>
      </c>
      <c r="AL31" s="248">
        <f t="shared" si="12"/>
        <v>0</v>
      </c>
      <c r="AM31" s="248">
        <f t="shared" si="12"/>
        <v>0</v>
      </c>
      <c r="AN31" s="248">
        <f t="shared" si="12"/>
        <v>0</v>
      </c>
      <c r="AO31" s="248">
        <f t="shared" si="12"/>
        <v>0</v>
      </c>
      <c r="AP31" s="248">
        <f t="shared" si="12"/>
        <v>0</v>
      </c>
      <c r="AQ31" s="248">
        <f t="shared" si="12"/>
        <v>0</v>
      </c>
      <c r="AR31" s="248" t="e">
        <f t="shared" si="12"/>
        <v>#DIV/0!</v>
      </c>
      <c r="AS31" s="248" t="e">
        <f t="shared" si="12"/>
        <v>#DIV/0!</v>
      </c>
      <c r="AT31" s="248" t="e">
        <f t="shared" si="12"/>
        <v>#DIV/0!</v>
      </c>
      <c r="AU31" s="248" t="e">
        <f t="shared" si="12"/>
        <v>#DIV/0!</v>
      </c>
      <c r="AV31" s="248" t="e">
        <f t="shared" si="12"/>
        <v>#DIV/0!</v>
      </c>
      <c r="AW31" s="248" t="e">
        <f t="shared" si="12"/>
        <v>#DIV/0!</v>
      </c>
      <c r="AX31" s="248" t="e">
        <f t="shared" si="12"/>
        <v>#DIV/0!</v>
      </c>
      <c r="AY31" s="248" t="e">
        <f t="shared" si="12"/>
        <v>#DIV/0!</v>
      </c>
      <c r="AZ31" s="248" t="e">
        <f t="shared" si="12"/>
        <v>#DIV/0!</v>
      </c>
      <c r="BA31" s="248" t="e">
        <f t="shared" si="12"/>
        <v>#DIV/0!</v>
      </c>
      <c r="BB31" s="248" t="e">
        <f t="shared" si="12"/>
        <v>#DIV/0!</v>
      </c>
      <c r="BC31" s="248" t="e">
        <f t="shared" si="12"/>
        <v>#DIV/0!</v>
      </c>
      <c r="BD31" s="248" t="e">
        <f t="shared" si="12"/>
        <v>#DIV/0!</v>
      </c>
      <c r="BE31" s="248" t="e">
        <f t="shared" si="12"/>
        <v>#DIV/0!</v>
      </c>
      <c r="BF31" s="248" t="e">
        <f t="shared" si="12"/>
        <v>#DIV/0!</v>
      </c>
      <c r="BG31" s="248" t="e">
        <f t="shared" si="12"/>
        <v>#DIV/0!</v>
      </c>
      <c r="BH31" s="248" t="e">
        <f t="shared" si="12"/>
        <v>#DIV/0!</v>
      </c>
      <c r="BN31" s="324"/>
      <c r="BO31" s="325"/>
    </row>
    <row r="32" spans="1:67" s="190" customFormat="1" ht="13.5" thickBot="1" x14ac:dyDescent="0.25">
      <c r="A32" s="516"/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71"/>
      <c r="BN32" s="324"/>
      <c r="BO32" s="325"/>
    </row>
    <row r="33" spans="1:67" s="258" customFormat="1" ht="13.5" thickBot="1" x14ac:dyDescent="0.25">
      <c r="A33" s="278" t="s">
        <v>15</v>
      </c>
      <c r="B33" s="279">
        <f>Données!$F$39</f>
        <v>9.5</v>
      </c>
      <c r="C33" s="279">
        <f>IF(C$5&lt;TB,Données!$F$43,IF(Résultats!C$5&gt;TB,Résultats!B$33-(Deper/(TI-3-TB)),IF(Résultats!C$5=TB,Deper,Deper)))</f>
        <v>9.5</v>
      </c>
      <c r="D33" s="279">
        <f>IF(D$5&lt;TB,Données!$F$43,IF(Résultats!D$5&gt;TB,Résultats!C$33-(Deper/(TI-3-TB)),IF(Résultats!D$5=TB,Deper,Deper)))</f>
        <v>9.5</v>
      </c>
      <c r="E33" s="279">
        <f>IF(E$5&lt;TB,Données!$F$43,IF(Résultats!E$5&gt;TB,Résultats!D$33-(Deper/(TI-3-TB)),IF(Résultats!E$5=TB,Deper,Deper)))</f>
        <v>9.5</v>
      </c>
      <c r="F33" s="279">
        <f>IF(F$5&lt;TB,Données!$F$43,IF(Résultats!F$5&gt;TB,Résultats!E$33-(Deper/(TI-3-TB)),IF(Résultats!F$5=TB,Deper,Deper)))</f>
        <v>9.5</v>
      </c>
      <c r="G33" s="279">
        <f>IF(G$5&lt;TB,Données!$F$43,IF(Résultats!G$5&gt;TB,Résultats!F$33-(Deper/(TI-3-TB)),IF(Résultats!G$5=TB,Deper,Deper)))</f>
        <v>9.5</v>
      </c>
      <c r="H33" s="279">
        <f>IF(H$5&lt;TB,Données!$F$43,IF(Résultats!H$5&gt;TB,Résultats!G$33-(Deper/(TI-3-TB)),IF(Résultats!H$5=TB,Deper,Deper)))</f>
        <v>9.5</v>
      </c>
      <c r="I33" s="279">
        <f>IF(I$5&lt;TB,Données!$F$43,IF(Résultats!I$5&gt;TB,Résultats!H$33-(Deper/(TI-3-TB)),IF(Résultats!I$5=TB,Deper,Deper)))</f>
        <v>9.5</v>
      </c>
      <c r="J33" s="279">
        <f>IF(J$5&lt;TB,Données!$F$43,IF(Résultats!J$5&gt;TB,Résultats!I$33-(Deper/(TI-3-TB)),IF(Résultats!J$5=TB,Deper,Deper)))</f>
        <v>9.5</v>
      </c>
      <c r="K33" s="279">
        <f>IF(K$5&lt;TB,Données!$F$43,IF(Résultats!K$5&gt;TB,Résultats!J$33-(Deper/(TI-3-TB)),IF(Résultats!K$5=TB,Deper,Deper)))</f>
        <v>9.5</v>
      </c>
      <c r="L33" s="279">
        <f>IF(L$5&lt;TB,Données!$F$43,IF(Résultats!L$5&gt;TB,Résultats!K$33-(Deper/(TI-3-TB)),IF(Résultats!L$5=TB,Deper,Deper)))</f>
        <v>9.5</v>
      </c>
      <c r="M33" s="279">
        <f>IF(M$5&lt;TB,Données!$F$43,IF(Résultats!M$5&gt;TB,Résultats!L$33-(Deper/(TI-3-TB)),IF(Résultats!M$5=TB,Deper,Deper)))</f>
        <v>9.203125</v>
      </c>
      <c r="N33" s="279">
        <f>IF(N$5&lt;TB,Données!$F$43,IF(Résultats!N$5&gt;TB,Résultats!M$33-(Deper/(TI-3-TB)),IF(Résultats!N$5=TB,Deper,Deper)))</f>
        <v>8.90625</v>
      </c>
      <c r="O33" s="279">
        <f>IF(O$5&lt;TB,Données!$F$43,IF(Résultats!O$5&gt;TB,Résultats!N$33-(Deper/(TI-3-TB)),IF(Résultats!O$5=TB,Deper,Deper)))</f>
        <v>8.609375</v>
      </c>
      <c r="P33" s="279">
        <f>IF(P$5&lt;TB,Données!$F$43,IF(Résultats!P$5&gt;TB,Résultats!O$33-(Deper/(TI-3-TB)),IF(Résultats!P$5=TB,Deper,Deper)))</f>
        <v>8.3125</v>
      </c>
      <c r="Q33" s="279">
        <f>IF(Q$5&lt;TB,Données!$F$43,IF(Résultats!Q$5&gt;TB,Résultats!P$33-(Deper/(TI-3-TB)),IF(Résultats!Q$5=TB,Deper,Deper)))</f>
        <v>8.015625</v>
      </c>
      <c r="R33" s="279">
        <f>IF(R$5&lt;TB,Données!$F$43,IF(Résultats!R$5&gt;TB,Résultats!Q$33-(Deper/(TI-3-TB)),IF(Résultats!R$5=TB,Deper,Deper)))</f>
        <v>7.71875</v>
      </c>
      <c r="S33" s="279">
        <f>IF(S$5&lt;TB,Données!$F$43,IF(Résultats!S$5&gt;TB,Résultats!R$33-(Deper/(TI-3-TB)),IF(Résultats!S$5=TB,Deper,Deper)))</f>
        <v>7.421875</v>
      </c>
      <c r="T33" s="279">
        <f>IF(T$5&lt;TB,Données!$F$43,IF(Résultats!T$5&gt;TB,Résultats!S$33-(Deper/(TI-3-TB)),IF(Résultats!T$5=TB,Deper,Deper)))</f>
        <v>7.125</v>
      </c>
      <c r="U33" s="279">
        <f>IF(U$5&lt;TB,Données!$F$43,IF(Résultats!U$5&gt;TB,Résultats!T$33-(Deper/(TI-3-TB)),IF(Résultats!U$5=TB,Deper,Deper)))</f>
        <v>6.828125</v>
      </c>
      <c r="V33" s="279">
        <f>IF(V$5&lt;TB,Données!$F$43,IF(Résultats!V$5&gt;TB,Résultats!U$33-(Deper/(TI-3-TB)),IF(Résultats!V$5=TB,Deper,Deper)))</f>
        <v>6.53125</v>
      </c>
      <c r="W33" s="279">
        <f>IF(W$5&lt;TB,Données!$F$43,IF(Résultats!W$5&gt;TB,Résultats!V$33-(Deper/(TI-3-TB)),IF(Résultats!W$5=TB,Deper,Deper)))</f>
        <v>6.234375</v>
      </c>
      <c r="X33" s="279">
        <f>IF(X$5&lt;TB,Données!$F$43,IF(Résultats!X$5&gt;TB,Résultats!W$33-(Deper/(TI-3-TB)),IF(Résultats!X$5=TB,Deper,Deper)))</f>
        <v>5.9375</v>
      </c>
      <c r="Y33" s="279">
        <f>IF(Y$5&lt;TB,Données!$F$43,IF(Résultats!Y$5&gt;TB,Résultats!X$33-(Deper/(TI-3-TB)),IF(Résultats!Y$5=TB,Deper,Deper)))</f>
        <v>5.640625</v>
      </c>
      <c r="Z33" s="279">
        <f>IF(Z$5&lt;TB,Données!$F$43,IF(Résultats!Z$5&gt;TB,Résultats!Y$33-(Deper/(TI-3-TB)),IF(Résultats!Z$5=TB,Deper,Deper)))</f>
        <v>5.34375</v>
      </c>
      <c r="AA33" s="279">
        <f>IF(AA$5&lt;TB,Données!$F$43,IF(Résultats!AA$5&gt;TB,Résultats!Z$33-(Deper/(TI-3-TB)),IF(Résultats!AA$5=TB,Deper,Deper)))</f>
        <v>5.046875</v>
      </c>
      <c r="AB33" s="279">
        <f>IF(AB$5&lt;TB,Données!$F$43,IF(Résultats!AB$5&gt;TB,Résultats!AA$33-(Deper/(TI-3-TB)),IF(Résultats!AB$5=TB,Deper,Deper)))</f>
        <v>4.75</v>
      </c>
      <c r="AC33" s="279">
        <f>IF(AC$5&lt;TB,Données!$F$43,IF(Résultats!AC$5&gt;TB,Résultats!AB$33-(Deper/(TI-3-TB)),IF(Résultats!AC$5=TB,Deper,Deper)))</f>
        <v>4.453125</v>
      </c>
      <c r="AD33" s="279">
        <f>IF(AD$5&lt;TB,Données!$F$43,IF(Résultats!AD$5&gt;TB,Résultats!AC$33-(Deper/(TI-3-TB)),IF(Résultats!AD$5=TB,Deper,Deper)))</f>
        <v>4.15625</v>
      </c>
      <c r="AE33" s="279">
        <f>IF(AE$5&lt;TB,Données!$F$43,IF(Résultats!AE$5&gt;TB,Résultats!AD$33-(Deper/(TI-3-TB)),IF(Résultats!AE$5=TB,Deper,Deper)))</f>
        <v>3.859375</v>
      </c>
      <c r="AF33" s="279">
        <f>IF(AF$5&lt;TB,Données!$F$43,IF(Résultats!AF$5&gt;TB,Résultats!AE$33-(Deper/(TI-3-TB)),IF(Résultats!AF$5=TB,Deper,Deper)))</f>
        <v>3.5625</v>
      </c>
      <c r="AG33" s="279">
        <f>IF(AG$5&lt;TB,Données!$F$43,IF(Résultats!AG$5&gt;TB,Résultats!AF$33-(Deper/(TI-3-TB)),IF(Résultats!AG$5=TB,Deper,Deper)))</f>
        <v>3.265625</v>
      </c>
      <c r="AH33" s="279">
        <f>IF(AH$5&lt;TB,Données!$F$43,IF(Résultats!AH$5&gt;TB,Résultats!AG$33-(Deper/(TI-3-TB)),IF(Résultats!AH$5=TB,Deper,Deper)))</f>
        <v>2.96875</v>
      </c>
      <c r="AI33" s="279">
        <f>IF(AI$5&lt;TB,Données!$F$43,IF(Résultats!AI$5&gt;TB,Résultats!AH$33-(Deper/(TI-3-TB)),IF(Résultats!AI$5=TB,Deper,Deper)))</f>
        <v>2.671875</v>
      </c>
      <c r="AJ33" s="279">
        <f>IF(AJ$5&lt;TB,Données!$F$43,IF(Résultats!AJ$5&gt;TB,Résultats!AI$33-(Deper/(TI-3-TB)),IF(Résultats!AJ$5=TB,Deper,Deper)))</f>
        <v>2.375</v>
      </c>
      <c r="AK33" s="279">
        <f>IF(AK$5&lt;TB,Données!$F$43,IF(Résultats!AK$5&gt;TB,Résultats!AJ$33-(Deper/(TI-3-TB)),IF(Résultats!AK$5=TB,Deper,Deper)))</f>
        <v>2.078125</v>
      </c>
      <c r="AL33" s="279">
        <f>IF(AL$5&lt;TB,Données!$F$43,IF(Résultats!AL$5&gt;TB,Résultats!AK$33-(Deper/(TI-3-TB)),IF(Résultats!AL$5=TB,Deper,Deper)))</f>
        <v>1.78125</v>
      </c>
      <c r="AM33" s="279">
        <f>IF(AM$5&lt;TB,Données!$F$43,IF(Résultats!AM$5&gt;TB,Résultats!AL$33-(Deper/(TI-3-TB)),IF(Résultats!AM$5=TB,Deper,Deper)))</f>
        <v>1.484375</v>
      </c>
      <c r="AN33" s="279">
        <f>IF(AN$5&gt;=TI-3,0,IF(AN$5&lt;TB,Données!$F$43,IF(Résultats!AN$5&gt;TB,Résultats!AM$33-(Deper/(TI-3-TB)),IF(Résultats!AN$5=TB,Deper,Deper))))</f>
        <v>1.1875</v>
      </c>
      <c r="AO33" s="279">
        <f>IF(AO$5&gt;=TI-3,0,IF(AO$5&lt;TB,Données!$F$43,IF(Résultats!AO$5&gt;TB,Résultats!AN$33-(Deper/(TI-3-TB)),IF(Résultats!AO$5=TB,Deper,Deper))))</f>
        <v>0.890625</v>
      </c>
      <c r="AP33" s="279">
        <f>IF(AP$5&gt;=TI-3,0,IF(AP$5&lt;TB,Données!$F$43,IF(Résultats!AP$5&gt;TB,Résultats!AO$33-(Deper/(TI-3-TB)),IF(Résultats!AP$5=TB,Deper,Deper))))</f>
        <v>0.59375</v>
      </c>
      <c r="AQ33" s="279">
        <f>IF(AQ$5&gt;=TI-3,0,IF(AQ$5&lt;TB,Données!$F$43,IF(Résultats!AQ$5&gt;TB,Résultats!AP$33-(Deper/(TI-3-TB)),IF(Résultats!AQ$5=TB,Deper,Deper))))</f>
        <v>0.296875</v>
      </c>
      <c r="AR33" s="279">
        <f>IF(AR$5&gt;=TI-3,0,IF(AR$5&lt;TB,Données!$F$43,IF(Résultats!AR$5&gt;TB,Résultats!AQ$33-(Deper/(TI-3-TB)),IF(Résultats!AR$5=TB,Deper,Deper))))</f>
        <v>0</v>
      </c>
      <c r="AS33" s="279">
        <f>IF(AS$5&gt;=TI-3,0,IF(AS$5&lt;TB,Données!$F$43,IF(Résultats!AS$5&gt;TB,Résultats!AR$33-(Deper/(TI-3-TB)),IF(Résultats!AS$5=TB,Deper,Deper))))</f>
        <v>0</v>
      </c>
      <c r="AT33" s="279">
        <f>IF(AT$5&gt;=TI-3,0,IF(AT$5&lt;TB,Données!$F$43,IF(Résultats!AT$5&gt;TB,Résultats!AS$33-(Deper/(TI-3-TB)),IF(Résultats!AT$5=TB,Deper,Deper))))</f>
        <v>0</v>
      </c>
      <c r="AU33" s="279">
        <f>IF(AU$5&gt;=TI-3,0,IF(AU$5&lt;TB,Données!$F$43,IF(Résultats!AU$5&gt;TB,Résultats!AT$33-(Deper/(TI-3-TB)),IF(Résultats!AU$5=TB,Deper,Deper))))</f>
        <v>0</v>
      </c>
      <c r="AV33" s="279">
        <f>IF(AV$5&gt;=TI-3,0,IF(AV$5&lt;TB,Données!$F$43,IF(Résultats!AV$5&gt;TB,Résultats!AU$33-(Deper/(TI-3-TB)),IF(Résultats!AV$5=TB,Deper,Deper))))</f>
        <v>0</v>
      </c>
      <c r="AW33" s="279">
        <f>IF(AW$5&gt;=TI-3,0,IF(AW$5&lt;TB,Données!$F$43,IF(Résultats!AW$5&gt;TB,Résultats!AV$33-(Deper/(TI-3-TB)),IF(Résultats!AW$5=TB,Deper,Deper))))</f>
        <v>0</v>
      </c>
      <c r="AX33" s="279">
        <f>IF(AX$5&gt;=TI-3,0,IF(AX$5&lt;TB,Données!$F$43,IF(Résultats!AX$5&gt;TB,Résultats!AW$33-(Deper/(TI-3-TB)),IF(Résultats!AX$5=TB,Deper,Deper))))</f>
        <v>0</v>
      </c>
      <c r="AY33" s="279">
        <f>IF(AY$5&gt;=TI-3,0,IF(AY$5&lt;TB,Données!$F$43,IF(Résultats!AY$5&gt;TB,Résultats!AX$33-(Deper/(TI-3-TB)),IF(Résultats!AY$5=TB,Deper,Deper))))</f>
        <v>0</v>
      </c>
      <c r="AZ33" s="279">
        <f>IF(AZ$5&gt;=TI-3,0,IF(AZ$5&lt;TB,Données!$F$43,IF(Résultats!AZ$5&gt;TB,Résultats!AY$33-(Deper/(TI-3-TB)),IF(Résultats!AZ$5=TB,Deper,Deper))))</f>
        <v>0</v>
      </c>
      <c r="BA33" s="279">
        <f>IF(BA$5&gt;=TI-3,0,IF(BA$5&lt;TB,Données!$F$43,IF(Résultats!BA$5&gt;TB,Résultats!AZ$33-(Deper/(TI-3-TB)),IF(Résultats!BA$5=TB,Deper,Deper))))</f>
        <v>0</v>
      </c>
      <c r="BB33" s="279">
        <f>IF(BB$5&gt;=TI-3,0,IF(BB$5&lt;TB,Données!$F$43,IF(Résultats!BB$5&gt;TB,Résultats!BA$33-(Deper/(TI-3-TB)),IF(Résultats!BB$5=TB,Deper,Deper))))</f>
        <v>0</v>
      </c>
      <c r="BC33" s="279">
        <f>IF(BC$5&gt;=TI-3,0,IF(BC$5&lt;TB,Données!$F$43,IF(Résultats!BC$5&gt;TB,Résultats!BB$33-(Deper/(TI-3-TB)),IF(Résultats!BC$5=TB,Deper,Deper))))</f>
        <v>0</v>
      </c>
      <c r="BD33" s="279">
        <f>IF(BD$5&gt;=TI-3,0,IF(BD$5&lt;TB,Données!$F$43,IF(Résultats!BD$5&gt;TB,Résultats!BC$33-(Deper/(TI-3-TB)),IF(Résultats!BD$5=TB,Deper,Deper))))</f>
        <v>0</v>
      </c>
      <c r="BE33" s="279">
        <f>IF(BE$5&gt;=TI-3,0,IF(BE$5&lt;TB,Données!$F$43,IF(Résultats!BE$5&gt;TB,Résultats!BD$33-(Deper/(TI-3-TB)),IF(Résultats!BE$5=TB,Deper,Deper))))</f>
        <v>0</v>
      </c>
      <c r="BF33" s="279">
        <f>IF(BF$5&gt;=TI-3,0,IF(BF$5&lt;TB,Données!$F$43,IF(Résultats!BF$5&gt;TB,Résultats!BE$33-(Deper/(TI-3-TB)),IF(Résultats!BF$5=TB,Deper,Deper))))</f>
        <v>0</v>
      </c>
      <c r="BG33" s="279">
        <f>IF(BG$5&gt;=TI-3,0,IF(BG$5&lt;TB,Données!$F$43,IF(Résultats!BG$5&gt;TB,Résultats!BF$33-(Deper/(TI-3-TB)),IF(Résultats!BG$5=TB,Deper,Deper))))</f>
        <v>0</v>
      </c>
      <c r="BH33" s="344">
        <f>IF(BH$5&gt;=TI-3,0,IF(BH$5&lt;TB,Données!$F$43,IF(Résultats!BH$5&gt;TB,Résultats!BG$33-(Deper/(TI-3-TB)),IF(Résultats!BH$5=TB,Deper,Deper))))</f>
        <v>0</v>
      </c>
      <c r="BI33" s="282"/>
      <c r="BN33" s="326" t="s">
        <v>663</v>
      </c>
      <c r="BO33" s="327">
        <f>IF(cesc='BdD Bâtiment'!$K$78,(EBois+BI16)/(BI25+BI10),(EBois)/(BI24))</f>
        <v>0.94110173992307566</v>
      </c>
    </row>
    <row r="34" spans="1:67" s="190" customFormat="1" x14ac:dyDescent="0.2">
      <c r="A34" s="293" t="s">
        <v>648</v>
      </c>
      <c r="B34" s="264">
        <f>IF(B23=0,0,IF(OR(Chaudières!$C$35=Chaudières!$F$6,Chaudières!$C$35=Chaudières!$I$6),PDEL,pmax))</f>
        <v>0</v>
      </c>
      <c r="C34" s="264">
        <f>IF(C23=0,0,IF(OR(Chaudières!$C$35=Chaudières!$F$6,Chaudières!$C$35=Chaudières!$I$6),PDEL,pmax))</f>
        <v>0</v>
      </c>
      <c r="D34" s="264">
        <f>IF(D23=0,0,IF(OR(Chaudières!$C$35=Chaudières!$F$6,Chaudières!$C$35=Chaudières!$I$6),PDEL,pmax))</f>
        <v>0</v>
      </c>
      <c r="E34" s="264">
        <f>IF(E23=0,0,IF(OR(Chaudières!$C$35=Chaudières!$F$6,Chaudières!$C$35=Chaudières!$I$6),PDEL,pmax))</f>
        <v>0</v>
      </c>
      <c r="F34" s="264">
        <f>IF(F23=0,0,IF(OR(Chaudières!$C$35=Chaudières!$F$6,Chaudières!$C$35=Chaudières!$I$6),PDEL,pmax))</f>
        <v>0</v>
      </c>
      <c r="G34" s="264">
        <f>IF(G23=0,0,IF(OR(Chaudières!$C$35=Chaudières!$F$6,Chaudières!$C$35=Chaudières!$I$6),PDEL,pmax))</f>
        <v>0</v>
      </c>
      <c r="H34" s="264">
        <f>IF(H23=0,0,IF(OR(Chaudières!$C$35=Chaudières!$F$6,Chaudières!$C$35=Chaudières!$I$6),PDEL,pmax))</f>
        <v>0</v>
      </c>
      <c r="I34" s="264">
        <f>IF(I23=0,0,IF(OR(Chaudières!$C$35=Chaudières!$F$6,Chaudières!$C$35=Chaudières!$I$6),PDEL,pmax))</f>
        <v>0</v>
      </c>
      <c r="J34" s="264">
        <f>IF(J23=0,0,IF(OR(Chaudières!$C$35=Chaudières!$F$6,Chaudières!$C$35=Chaudières!$I$6),PDEL,pmax))</f>
        <v>0</v>
      </c>
      <c r="K34" s="264">
        <f>IF(K23=0,0,IF(OR(Chaudières!$C$35=Chaudières!$F$6,Chaudières!$C$35=Chaudières!$I$6),PDEL,pmax))</f>
        <v>0</v>
      </c>
      <c r="L34" s="264">
        <f>IF(L23=0,0,IF(OR(Chaudières!$C$35=Chaudières!$F$6,Chaudières!$C$35=Chaudières!$I$6),PDEL,pmax))</f>
        <v>0</v>
      </c>
      <c r="M34" s="264">
        <f>IF(M23=0,0,IF(OR(Chaudières!$C$35=Chaudières!$F$6,Chaudières!$C$35=Chaudières!$I$6),PDEL,pmax))</f>
        <v>0</v>
      </c>
      <c r="N34" s="264">
        <f>IF(N23=0,0,IF(OR(Chaudières!$C$35=Chaudières!$F$6,Chaudières!$C$35=Chaudières!$I$6),PDEL,pmax))</f>
        <v>4.7197500000000003</v>
      </c>
      <c r="O34" s="264">
        <f>IF(O23=0,0,IF(OR(Chaudières!$C$35=Chaudières!$F$6,Chaudières!$C$35=Chaudières!$I$6),PDEL,pmax))</f>
        <v>4.7197500000000003</v>
      </c>
      <c r="P34" s="264">
        <f>IF(P23=0,0,IF(OR(Chaudières!$C$35=Chaudières!$F$6,Chaudières!$C$35=Chaudières!$I$6),PDEL,pmax))</f>
        <v>4.7197500000000003</v>
      </c>
      <c r="Q34" s="264">
        <f>IF(Q23=0,0,IF(OR(Chaudières!$C$35=Chaudières!$F$6,Chaudières!$C$35=Chaudières!$I$6),PDEL,pmax))</f>
        <v>4.7197500000000003</v>
      </c>
      <c r="R34" s="264">
        <f>IF(R23=0,0,IF(OR(Chaudières!$C$35=Chaudières!$F$6,Chaudières!$C$35=Chaudières!$I$6),PDEL,pmax))</f>
        <v>4.7197500000000003</v>
      </c>
      <c r="S34" s="264">
        <f>IF(S23=0,0,IF(OR(Chaudières!$C$35=Chaudières!$F$6,Chaudières!$C$35=Chaudières!$I$6),PDEL,pmax))</f>
        <v>4.7197500000000003</v>
      </c>
      <c r="T34" s="264">
        <f>IF(T23=0,0,IF(OR(Chaudières!$C$35=Chaudières!$F$6,Chaudières!$C$35=Chaudières!$I$6),PDEL,pmax))</f>
        <v>4.7197500000000003</v>
      </c>
      <c r="U34" s="264">
        <f>IF(U23=0,0,IF(OR(Chaudières!$C$35=Chaudières!$F$6,Chaudières!$C$35=Chaudières!$I$6),PDEL,pmax))</f>
        <v>4.7197500000000003</v>
      </c>
      <c r="V34" s="264">
        <f>IF(V23=0,0,IF(OR(Chaudières!$C$35=Chaudières!$F$6,Chaudières!$C$35=Chaudières!$I$6),PDEL,pmax))</f>
        <v>4.7197500000000003</v>
      </c>
      <c r="W34" s="264">
        <f>IF(W23=0,0,IF(OR(Chaudières!$C$35=Chaudières!$F$6,Chaudières!$C$35=Chaudières!$I$6),PDEL,pmax))</f>
        <v>4.7197500000000003</v>
      </c>
      <c r="X34" s="264">
        <f>IF(X23=0,0,IF(OR(Chaudières!$C$35=Chaudières!$F$6,Chaudières!$C$35=Chaudières!$I$6),PDEL,pmax))</f>
        <v>4.7197500000000003</v>
      </c>
      <c r="Y34" s="264">
        <f>IF(Y23=0,0,IF(OR(Chaudières!$C$35=Chaudières!$F$6,Chaudières!$C$35=Chaudières!$I$6),PDEL,pmax))</f>
        <v>4.7197500000000003</v>
      </c>
      <c r="Z34" s="264">
        <f>IF(Z23=0,0,IF(OR(Chaudières!$C$35=Chaudières!$F$6,Chaudières!$C$35=Chaudières!$I$6),PDEL,pmax))</f>
        <v>4.7197500000000003</v>
      </c>
      <c r="AA34" s="264">
        <f>IF(AA23=0,0,IF(OR(Chaudières!$C$35=Chaudières!$F$6,Chaudières!$C$35=Chaudières!$I$6),PDEL,pmax))</f>
        <v>4.7197500000000003</v>
      </c>
      <c r="AB34" s="264">
        <f>IF(AB23=0,0,IF(OR(Chaudières!$C$35=Chaudières!$F$6,Chaudières!$C$35=Chaudières!$I$6),PDEL,pmax))</f>
        <v>4.7197500000000003</v>
      </c>
      <c r="AC34" s="264">
        <f>IF(AC23=0,0,IF(OR(Chaudières!$C$35=Chaudières!$F$6,Chaudières!$C$35=Chaudières!$I$6),PDEL,pmax))</f>
        <v>4.7197500000000003</v>
      </c>
      <c r="AD34" s="264">
        <f>IF(AD23=0,0,IF(OR(Chaudières!$C$35=Chaudières!$F$6,Chaudières!$C$35=Chaudières!$I$6),PDEL,pmax))</f>
        <v>4.7197500000000003</v>
      </c>
      <c r="AE34" s="264">
        <f>IF(AE23=0,0,IF(OR(Chaudières!$C$35=Chaudières!$F$6,Chaudières!$C$35=Chaudières!$I$6),PDEL,pmax))</f>
        <v>4.7197500000000003</v>
      </c>
      <c r="AF34" s="264">
        <f>IF(AF23=0,0,IF(OR(Chaudières!$C$35=Chaudières!$F$6,Chaudières!$C$35=Chaudières!$I$6),PDEL,pmax))</f>
        <v>4.7197500000000003</v>
      </c>
      <c r="AG34" s="264">
        <f>IF(AG23=0,0,IF(OR(Chaudières!$C$35=Chaudières!$F$6,Chaudières!$C$35=Chaudières!$I$6),PDEL,pmax))</f>
        <v>4.7197500000000003</v>
      </c>
      <c r="AH34" s="264">
        <f>IF(AH23=0,0,IF(OR(Chaudières!$C$35=Chaudières!$F$6,Chaudières!$C$35=Chaudières!$I$6),PDEL,pmax))</f>
        <v>4.7197500000000003</v>
      </c>
      <c r="AI34" s="264">
        <f>IF(AI23=0,0,IF(OR(Chaudières!$C$35=Chaudières!$F$6,Chaudières!$C$35=Chaudières!$I$6),PDEL,pmax))</f>
        <v>4.7197500000000003</v>
      </c>
      <c r="AJ34" s="264">
        <f>IF(AJ23=0,0,IF(OR(Chaudières!$C$35=Chaudières!$F$6,Chaudières!$C$35=Chaudières!$I$6),PDEL,pmax))</f>
        <v>4.7197500000000003</v>
      </c>
      <c r="AK34" s="264">
        <f>IF(AK23=0,0,IF(OR(Chaudières!$C$35=Chaudières!$F$6,Chaudières!$C$35=Chaudières!$I$6),PDEL,pmax))</f>
        <v>4.7197500000000003</v>
      </c>
      <c r="AL34" s="264">
        <f>IF(AL23=0,0,IF(OR(Chaudières!$C$35=Chaudières!$F$6,Chaudières!$C$35=Chaudières!$I$6),PDEL,pmax))</f>
        <v>4.7197500000000003</v>
      </c>
      <c r="AM34" s="264">
        <f>IF(AM23=0,0,IF(OR(Chaudières!$C$35=Chaudières!$F$6,Chaudières!$C$35=Chaudières!$I$6),PDEL,pmax))</f>
        <v>4.7197500000000003</v>
      </c>
      <c r="AN34" s="264">
        <f>IF(AN23=0,0,IF(OR(Chaudières!$C$35=Chaudières!$F$6,Chaudières!$C$35=Chaudières!$I$6),PDEL,pmax))</f>
        <v>4.7197500000000003</v>
      </c>
      <c r="AO34" s="264">
        <f>IF(AO23=0,0,IF(OR(Chaudières!$C$35=Chaudières!$F$6,Chaudières!$C$35=Chaudières!$I$6),PDEL,pmax))</f>
        <v>4.7197500000000003</v>
      </c>
      <c r="AP34" s="264">
        <f>IF(AP23=0,0,IF(OR(Chaudières!$C$35=Chaudières!$F$6,Chaudières!$C$35=Chaudières!$I$6),PDEL,pmax))</f>
        <v>4.7197500000000003</v>
      </c>
      <c r="AQ34" s="264">
        <f>IF(AQ23=0,0,IF(OR(Chaudières!$C$35=Chaudières!$F$6,Chaudières!$C$35=Chaudières!$I$6),PDEL,pmax))</f>
        <v>4.7197500000000003</v>
      </c>
      <c r="AR34" s="264">
        <f>IF(AR23=0,0,IF(OR(Chaudières!$C$35=Chaudières!$F$6,Chaudières!$C$35=Chaudières!$I$6),PDEL,pmax))</f>
        <v>0</v>
      </c>
      <c r="AS34" s="264">
        <f>IF(AS23=0,0,IF(OR(Chaudières!$C$35=Chaudières!$F$6,Chaudières!$C$35=Chaudières!$I$6),PDEL,pmax))</f>
        <v>0</v>
      </c>
      <c r="AT34" s="264">
        <f>IF(AT23=0,0,IF(OR(Chaudières!$C$35=Chaudières!$F$6,Chaudières!$C$35=Chaudières!$I$6),PDEL,pmax))</f>
        <v>0</v>
      </c>
      <c r="AU34" s="264">
        <f>IF(AU23=0,0,IF(OR(Chaudières!$C$35=Chaudières!$F$6,Chaudières!$C$35=Chaudières!$I$6),PDEL,pmax))</f>
        <v>0</v>
      </c>
      <c r="AV34" s="264">
        <f>IF(AV23=0,0,IF(OR(Chaudières!$C$35=Chaudières!$F$6,Chaudières!$C$35=Chaudières!$I$6),PDEL,pmax))</f>
        <v>0</v>
      </c>
      <c r="AW34" s="264">
        <f>IF(AW23=0,0,IF(OR(Chaudières!$C$35=Chaudières!$F$6,Chaudières!$C$35=Chaudières!$I$6),PDEL,pmax))</f>
        <v>0</v>
      </c>
      <c r="AX34" s="264">
        <f>IF(AX23=0,0,IF(OR(Chaudières!$C$35=Chaudières!$F$6,Chaudières!$C$35=Chaudières!$I$6),PDEL,pmax))</f>
        <v>0</v>
      </c>
      <c r="AY34" s="264">
        <f>IF(AY23=0,0,IF(OR(Chaudières!$C$35=Chaudières!$F$6,Chaudières!$C$35=Chaudières!$I$6),PDEL,pmax))</f>
        <v>0</v>
      </c>
      <c r="AZ34" s="264">
        <f>IF(AZ23=0,0,IF(OR(Chaudières!$C$35=Chaudières!$F$6,Chaudières!$C$35=Chaudières!$I$6),PDEL,pmax))</f>
        <v>0</v>
      </c>
      <c r="BA34" s="264">
        <f>IF(BA23=0,0,IF(OR(Chaudières!$C$35=Chaudières!$F$6,Chaudières!$C$35=Chaudières!$I$6),PDEL,pmax))</f>
        <v>0</v>
      </c>
      <c r="BB34" s="264">
        <f>IF(BB23=0,0,IF(OR(Chaudières!$C$35=Chaudières!$F$6,Chaudières!$C$35=Chaudières!$I$6),PDEL,pmax))</f>
        <v>0</v>
      </c>
      <c r="BC34" s="264">
        <f>IF(BC23=0,0,IF(OR(Chaudières!$C$35=Chaudières!$F$6,Chaudières!$C$35=Chaudières!$I$6),PDEL,pmax))</f>
        <v>0</v>
      </c>
      <c r="BD34" s="264">
        <f>IF(BD23=0,0,IF(OR(Chaudières!$C$35=Chaudières!$F$6,Chaudières!$C$35=Chaudières!$I$6),PDEL,pmax))</f>
        <v>0</v>
      </c>
      <c r="BE34" s="264">
        <f>IF(BE23=0,0,IF(OR(Chaudières!$C$35=Chaudières!$F$6,Chaudières!$C$35=Chaudières!$I$6),PDEL,pmax))</f>
        <v>0</v>
      </c>
      <c r="BF34" s="264">
        <f>IF(BF23=0,0,IF(OR(Chaudières!$C$35=Chaudières!$F$6,Chaudières!$C$35=Chaudières!$I$6),PDEL,pmax))</f>
        <v>0</v>
      </c>
      <c r="BG34" s="264">
        <f>IF(BG23=0,0,IF(OR(Chaudières!$C$35=Chaudières!$F$6,Chaudières!$C$35=Chaudières!$I$6),PDEL,pmax))</f>
        <v>0</v>
      </c>
      <c r="BH34" s="264">
        <f>IF(BH23=0,0,IF(OR(Chaudières!$C$35=Chaudières!$F$6,Chaudières!$C$35=Chaudières!$I$6),PDEL,pmax))</f>
        <v>0</v>
      </c>
      <c r="BK34" s="331" t="s">
        <v>665</v>
      </c>
      <c r="BL34" s="332"/>
    </row>
    <row r="35" spans="1:67" s="190" customFormat="1" x14ac:dyDescent="0.2">
      <c r="A35" s="293" t="s">
        <v>646</v>
      </c>
      <c r="B35" s="264">
        <f t="shared" ref="B35:AG35" si="13">IF(B23=0,0,B34-B14*$BL$36)</f>
        <v>0</v>
      </c>
      <c r="C35" s="264">
        <f t="shared" si="13"/>
        <v>0</v>
      </c>
      <c r="D35" s="264">
        <f t="shared" si="13"/>
        <v>0</v>
      </c>
      <c r="E35" s="264">
        <f t="shared" si="13"/>
        <v>0</v>
      </c>
      <c r="F35" s="264">
        <f t="shared" si="13"/>
        <v>0</v>
      </c>
      <c r="G35" s="264">
        <f t="shared" si="13"/>
        <v>0</v>
      </c>
      <c r="H35" s="264">
        <f t="shared" si="13"/>
        <v>0</v>
      </c>
      <c r="I35" s="264">
        <f t="shared" si="13"/>
        <v>0</v>
      </c>
      <c r="J35" s="264">
        <f t="shared" si="13"/>
        <v>0</v>
      </c>
      <c r="K35" s="264">
        <f t="shared" si="13"/>
        <v>0</v>
      </c>
      <c r="L35" s="264">
        <f t="shared" si="13"/>
        <v>0</v>
      </c>
      <c r="M35" s="264">
        <f t="shared" si="13"/>
        <v>0</v>
      </c>
      <c r="N35" s="264">
        <f t="shared" si="13"/>
        <v>4.63420453125</v>
      </c>
      <c r="O35" s="264">
        <f t="shared" si="13"/>
        <v>4.63420453125</v>
      </c>
      <c r="P35" s="264">
        <f t="shared" si="13"/>
        <v>4.63420453125</v>
      </c>
      <c r="Q35" s="264">
        <f t="shared" si="13"/>
        <v>4.63420453125</v>
      </c>
      <c r="R35" s="264">
        <f t="shared" si="13"/>
        <v>4.63420453125</v>
      </c>
      <c r="S35" s="264">
        <f t="shared" si="13"/>
        <v>4.63420453125</v>
      </c>
      <c r="T35" s="264">
        <f t="shared" si="13"/>
        <v>4.63420453125</v>
      </c>
      <c r="U35" s="264">
        <f t="shared" si="13"/>
        <v>4.63420453125</v>
      </c>
      <c r="V35" s="264">
        <f t="shared" si="13"/>
        <v>4.63420453125</v>
      </c>
      <c r="W35" s="264">
        <f t="shared" si="13"/>
        <v>4.63420453125</v>
      </c>
      <c r="X35" s="264">
        <f t="shared" si="13"/>
        <v>4.63420453125</v>
      </c>
      <c r="Y35" s="264">
        <f t="shared" si="13"/>
        <v>4.63420453125</v>
      </c>
      <c r="Z35" s="264">
        <f t="shared" si="13"/>
        <v>4.63420453125</v>
      </c>
      <c r="AA35" s="264">
        <f t="shared" si="13"/>
        <v>4.63420453125</v>
      </c>
      <c r="AB35" s="264">
        <f t="shared" si="13"/>
        <v>4.63420453125</v>
      </c>
      <c r="AC35" s="264">
        <f t="shared" si="13"/>
        <v>4.63420453125</v>
      </c>
      <c r="AD35" s="264">
        <f t="shared" si="13"/>
        <v>4.63420453125</v>
      </c>
      <c r="AE35" s="264">
        <f t="shared" si="13"/>
        <v>4.63420453125</v>
      </c>
      <c r="AF35" s="264">
        <f t="shared" si="13"/>
        <v>4.63420453125</v>
      </c>
      <c r="AG35" s="264">
        <f t="shared" si="13"/>
        <v>4.63420453125</v>
      </c>
      <c r="AH35" s="264">
        <f t="shared" ref="AH35:BH35" si="14">IF(AH23=0,0,AH34-AH14*$BL$36)</f>
        <v>4.63420453125</v>
      </c>
      <c r="AI35" s="264">
        <f t="shared" si="14"/>
        <v>4.63420453125</v>
      </c>
      <c r="AJ35" s="264">
        <f t="shared" si="14"/>
        <v>4.63420453125</v>
      </c>
      <c r="AK35" s="264">
        <f t="shared" si="14"/>
        <v>4.63420453125</v>
      </c>
      <c r="AL35" s="264">
        <f t="shared" si="14"/>
        <v>4.63420453125</v>
      </c>
      <c r="AM35" s="264">
        <f t="shared" si="14"/>
        <v>4.63420453125</v>
      </c>
      <c r="AN35" s="264">
        <f t="shared" si="14"/>
        <v>4.63420453125</v>
      </c>
      <c r="AO35" s="264">
        <f t="shared" si="14"/>
        <v>4.63420453125</v>
      </c>
      <c r="AP35" s="264">
        <f t="shared" si="14"/>
        <v>4.63420453125</v>
      </c>
      <c r="AQ35" s="264">
        <f t="shared" si="14"/>
        <v>4.63420453125</v>
      </c>
      <c r="AR35" s="264">
        <f t="shared" si="14"/>
        <v>0</v>
      </c>
      <c r="AS35" s="264">
        <f t="shared" si="14"/>
        <v>0</v>
      </c>
      <c r="AT35" s="264">
        <f t="shared" si="14"/>
        <v>0</v>
      </c>
      <c r="AU35" s="264">
        <f t="shared" si="14"/>
        <v>0</v>
      </c>
      <c r="AV35" s="264">
        <f t="shared" si="14"/>
        <v>0</v>
      </c>
      <c r="AW35" s="264">
        <f t="shared" si="14"/>
        <v>0</v>
      </c>
      <c r="AX35" s="264">
        <f t="shared" si="14"/>
        <v>0</v>
      </c>
      <c r="AY35" s="264">
        <f t="shared" si="14"/>
        <v>0</v>
      </c>
      <c r="AZ35" s="264">
        <f t="shared" si="14"/>
        <v>0</v>
      </c>
      <c r="BA35" s="264">
        <f t="shared" si="14"/>
        <v>0</v>
      </c>
      <c r="BB35" s="264">
        <f t="shared" si="14"/>
        <v>0</v>
      </c>
      <c r="BC35" s="264">
        <f t="shared" si="14"/>
        <v>0</v>
      </c>
      <c r="BD35" s="264">
        <f t="shared" si="14"/>
        <v>0</v>
      </c>
      <c r="BE35" s="264">
        <f t="shared" si="14"/>
        <v>0</v>
      </c>
      <c r="BF35" s="264">
        <f t="shared" si="14"/>
        <v>0</v>
      </c>
      <c r="BG35" s="264">
        <f t="shared" si="14"/>
        <v>0</v>
      </c>
      <c r="BH35" s="273">
        <f t="shared" si="14"/>
        <v>0</v>
      </c>
      <c r="BK35" s="328" t="s">
        <v>666</v>
      </c>
      <c r="BL35" s="271">
        <f>$AK$12/24</f>
        <v>0.21749999999999994</v>
      </c>
    </row>
    <row r="36" spans="1:67" s="190" customFormat="1" ht="13.5" thickBot="1" x14ac:dyDescent="0.25">
      <c r="A36" s="296" t="s">
        <v>647</v>
      </c>
      <c r="B36" s="276">
        <f t="shared" ref="B36:AG36" si="15">IF(B23=0,0,IF(B33=0,0,B35/B33))</f>
        <v>0</v>
      </c>
      <c r="C36" s="276">
        <f t="shared" si="15"/>
        <v>0</v>
      </c>
      <c r="D36" s="276">
        <f t="shared" si="15"/>
        <v>0</v>
      </c>
      <c r="E36" s="276">
        <f t="shared" si="15"/>
        <v>0</v>
      </c>
      <c r="F36" s="276">
        <f t="shared" si="15"/>
        <v>0</v>
      </c>
      <c r="G36" s="276">
        <f t="shared" si="15"/>
        <v>0</v>
      </c>
      <c r="H36" s="276">
        <f t="shared" si="15"/>
        <v>0</v>
      </c>
      <c r="I36" s="276">
        <f t="shared" si="15"/>
        <v>0</v>
      </c>
      <c r="J36" s="276">
        <f t="shared" si="15"/>
        <v>0</v>
      </c>
      <c r="K36" s="276">
        <f t="shared" si="15"/>
        <v>0</v>
      </c>
      <c r="L36" s="276">
        <f t="shared" si="15"/>
        <v>0</v>
      </c>
      <c r="M36" s="276">
        <f t="shared" si="15"/>
        <v>0</v>
      </c>
      <c r="N36" s="276">
        <f t="shared" si="15"/>
        <v>0.52033173684210521</v>
      </c>
      <c r="O36" s="276">
        <f t="shared" si="15"/>
        <v>0.53827421052631574</v>
      </c>
      <c r="P36" s="276">
        <f t="shared" si="15"/>
        <v>0.55749828947368418</v>
      </c>
      <c r="Q36" s="276">
        <f t="shared" si="15"/>
        <v>0.57814637426900584</v>
      </c>
      <c r="R36" s="276">
        <f t="shared" si="15"/>
        <v>0.60038277327935219</v>
      </c>
      <c r="S36" s="276">
        <f t="shared" si="15"/>
        <v>0.62439808421052634</v>
      </c>
      <c r="T36" s="276">
        <f t="shared" si="15"/>
        <v>0.65041467105263162</v>
      </c>
      <c r="U36" s="276">
        <f t="shared" si="15"/>
        <v>0.67869356979405038</v>
      </c>
      <c r="V36" s="276">
        <f t="shared" si="15"/>
        <v>0.70954327751196167</v>
      </c>
      <c r="W36" s="276">
        <f t="shared" si="15"/>
        <v>0.74333105263157895</v>
      </c>
      <c r="X36" s="276">
        <f t="shared" si="15"/>
        <v>0.78049760526315792</v>
      </c>
      <c r="Y36" s="276">
        <f t="shared" si="15"/>
        <v>0.82157642659279773</v>
      </c>
      <c r="Z36" s="276">
        <f t="shared" si="15"/>
        <v>0.86721956140350875</v>
      </c>
      <c r="AA36" s="276">
        <f t="shared" si="15"/>
        <v>0.91823247678018571</v>
      </c>
      <c r="AB36" s="276">
        <f t="shared" si="15"/>
        <v>0.97562200657894738</v>
      </c>
      <c r="AC36" s="276">
        <f t="shared" si="15"/>
        <v>1.0406634736842104</v>
      </c>
      <c r="AD36" s="276">
        <f t="shared" si="15"/>
        <v>1.1149965789473684</v>
      </c>
      <c r="AE36" s="276">
        <f t="shared" si="15"/>
        <v>1.2007655465587044</v>
      </c>
      <c r="AF36" s="276">
        <f t="shared" si="15"/>
        <v>1.3008293421052632</v>
      </c>
      <c r="AG36" s="276">
        <f t="shared" si="15"/>
        <v>1.4190865550239233</v>
      </c>
      <c r="AH36" s="276">
        <f t="shared" ref="AH36:BH36" si="16">IF(AH23=0,0,IF(AH33=0,0,AH35/AH33))</f>
        <v>1.5609952105263158</v>
      </c>
      <c r="AI36" s="276">
        <f t="shared" si="16"/>
        <v>1.7344391228070175</v>
      </c>
      <c r="AJ36" s="276">
        <f t="shared" si="16"/>
        <v>1.9512440131578948</v>
      </c>
      <c r="AK36" s="276">
        <f t="shared" si="16"/>
        <v>2.2299931578947367</v>
      </c>
      <c r="AL36" s="276">
        <f t="shared" si="16"/>
        <v>2.6016586842105265</v>
      </c>
      <c r="AM36" s="276">
        <f t="shared" si="16"/>
        <v>3.1219904210526317</v>
      </c>
      <c r="AN36" s="276">
        <f t="shared" si="16"/>
        <v>3.9024880263157895</v>
      </c>
      <c r="AO36" s="276">
        <f t="shared" si="16"/>
        <v>5.203317368421053</v>
      </c>
      <c r="AP36" s="276">
        <f t="shared" si="16"/>
        <v>7.804976052631579</v>
      </c>
      <c r="AQ36" s="276">
        <f t="shared" si="16"/>
        <v>15.609952105263158</v>
      </c>
      <c r="AR36" s="276">
        <f t="shared" si="16"/>
        <v>0</v>
      </c>
      <c r="AS36" s="276">
        <f t="shared" si="16"/>
        <v>0</v>
      </c>
      <c r="AT36" s="276">
        <f t="shared" si="16"/>
        <v>0</v>
      </c>
      <c r="AU36" s="276">
        <f t="shared" si="16"/>
        <v>0</v>
      </c>
      <c r="AV36" s="276">
        <f t="shared" si="16"/>
        <v>0</v>
      </c>
      <c r="AW36" s="276">
        <f t="shared" si="16"/>
        <v>0</v>
      </c>
      <c r="AX36" s="276">
        <f t="shared" si="16"/>
        <v>0</v>
      </c>
      <c r="AY36" s="276">
        <f t="shared" si="16"/>
        <v>0</v>
      </c>
      <c r="AZ36" s="276">
        <f t="shared" si="16"/>
        <v>0</v>
      </c>
      <c r="BA36" s="276">
        <f t="shared" si="16"/>
        <v>0</v>
      </c>
      <c r="BB36" s="276">
        <f t="shared" si="16"/>
        <v>0</v>
      </c>
      <c r="BC36" s="276">
        <f t="shared" si="16"/>
        <v>0</v>
      </c>
      <c r="BD36" s="276">
        <f t="shared" si="16"/>
        <v>0</v>
      </c>
      <c r="BE36" s="276">
        <f t="shared" si="16"/>
        <v>0</v>
      </c>
      <c r="BF36" s="276">
        <f t="shared" si="16"/>
        <v>0</v>
      </c>
      <c r="BG36" s="276">
        <f t="shared" si="16"/>
        <v>0</v>
      </c>
      <c r="BH36" s="345">
        <f t="shared" si="16"/>
        <v>0</v>
      </c>
      <c r="BK36" s="329" t="s">
        <v>667</v>
      </c>
      <c r="BL36" s="330">
        <f>BL35*2/24</f>
        <v>1.8124999999999995E-2</v>
      </c>
    </row>
    <row r="37" spans="1:67" s="190" customFormat="1" x14ac:dyDescent="0.2">
      <c r="A37" s="294" t="s">
        <v>650</v>
      </c>
      <c r="B37" s="286">
        <f t="shared" ref="B37:AG37" si="17">IF(B23=0,0,IF(B36&gt;1,1,B36))</f>
        <v>0</v>
      </c>
      <c r="C37" s="286">
        <f t="shared" si="17"/>
        <v>0</v>
      </c>
      <c r="D37" s="286">
        <f t="shared" si="17"/>
        <v>0</v>
      </c>
      <c r="E37" s="286">
        <f t="shared" si="17"/>
        <v>0</v>
      </c>
      <c r="F37" s="286">
        <f t="shared" si="17"/>
        <v>0</v>
      </c>
      <c r="G37" s="286">
        <f t="shared" si="17"/>
        <v>0</v>
      </c>
      <c r="H37" s="286">
        <f t="shared" si="17"/>
        <v>0</v>
      </c>
      <c r="I37" s="286">
        <f t="shared" si="17"/>
        <v>0</v>
      </c>
      <c r="J37" s="286">
        <f t="shared" si="17"/>
        <v>0</v>
      </c>
      <c r="K37" s="286">
        <f t="shared" si="17"/>
        <v>0</v>
      </c>
      <c r="L37" s="286">
        <f t="shared" si="17"/>
        <v>0</v>
      </c>
      <c r="M37" s="286">
        <f t="shared" si="17"/>
        <v>0</v>
      </c>
      <c r="N37" s="286">
        <f t="shared" si="17"/>
        <v>0.52033173684210521</v>
      </c>
      <c r="O37" s="286">
        <f t="shared" si="17"/>
        <v>0.53827421052631574</v>
      </c>
      <c r="P37" s="286">
        <f t="shared" si="17"/>
        <v>0.55749828947368418</v>
      </c>
      <c r="Q37" s="286">
        <f t="shared" si="17"/>
        <v>0.57814637426900584</v>
      </c>
      <c r="R37" s="286">
        <f t="shared" si="17"/>
        <v>0.60038277327935219</v>
      </c>
      <c r="S37" s="286">
        <f t="shared" si="17"/>
        <v>0.62439808421052634</v>
      </c>
      <c r="T37" s="286">
        <f t="shared" si="17"/>
        <v>0.65041467105263162</v>
      </c>
      <c r="U37" s="286">
        <f t="shared" si="17"/>
        <v>0.67869356979405038</v>
      </c>
      <c r="V37" s="286">
        <f t="shared" si="17"/>
        <v>0.70954327751196167</v>
      </c>
      <c r="W37" s="286">
        <f t="shared" si="17"/>
        <v>0.74333105263157895</v>
      </c>
      <c r="X37" s="286">
        <f t="shared" si="17"/>
        <v>0.78049760526315792</v>
      </c>
      <c r="Y37" s="286">
        <f t="shared" si="17"/>
        <v>0.82157642659279773</v>
      </c>
      <c r="Z37" s="286">
        <f t="shared" si="17"/>
        <v>0.86721956140350875</v>
      </c>
      <c r="AA37" s="286">
        <f t="shared" si="17"/>
        <v>0.91823247678018571</v>
      </c>
      <c r="AB37" s="286">
        <f t="shared" si="17"/>
        <v>0.97562200657894738</v>
      </c>
      <c r="AC37" s="286">
        <f t="shared" si="17"/>
        <v>1</v>
      </c>
      <c r="AD37" s="286">
        <f t="shared" si="17"/>
        <v>1</v>
      </c>
      <c r="AE37" s="286">
        <f t="shared" si="17"/>
        <v>1</v>
      </c>
      <c r="AF37" s="286">
        <f t="shared" si="17"/>
        <v>1</v>
      </c>
      <c r="AG37" s="286">
        <f t="shared" si="17"/>
        <v>1</v>
      </c>
      <c r="AH37" s="286">
        <f t="shared" ref="AH37:BH37" si="18">IF(AH23=0,0,IF(AH36&gt;1,1,AH36))</f>
        <v>1</v>
      </c>
      <c r="AI37" s="286">
        <f t="shared" si="18"/>
        <v>1</v>
      </c>
      <c r="AJ37" s="286">
        <f t="shared" si="18"/>
        <v>1</v>
      </c>
      <c r="AK37" s="286">
        <f t="shared" si="18"/>
        <v>1</v>
      </c>
      <c r="AL37" s="286">
        <f t="shared" si="18"/>
        <v>1</v>
      </c>
      <c r="AM37" s="286">
        <f t="shared" si="18"/>
        <v>1</v>
      </c>
      <c r="AN37" s="286">
        <f t="shared" si="18"/>
        <v>1</v>
      </c>
      <c r="AO37" s="286">
        <f t="shared" si="18"/>
        <v>1</v>
      </c>
      <c r="AP37" s="286">
        <f t="shared" si="18"/>
        <v>1</v>
      </c>
      <c r="AQ37" s="286">
        <f t="shared" si="18"/>
        <v>1</v>
      </c>
      <c r="AR37" s="286">
        <f t="shared" si="18"/>
        <v>0</v>
      </c>
      <c r="AS37" s="286">
        <f t="shared" si="18"/>
        <v>0</v>
      </c>
      <c r="AT37" s="286">
        <f t="shared" si="18"/>
        <v>0</v>
      </c>
      <c r="AU37" s="286">
        <f t="shared" si="18"/>
        <v>0</v>
      </c>
      <c r="AV37" s="286">
        <f t="shared" si="18"/>
        <v>0</v>
      </c>
      <c r="AW37" s="286">
        <f t="shared" si="18"/>
        <v>0</v>
      </c>
      <c r="AX37" s="286">
        <f t="shared" si="18"/>
        <v>0</v>
      </c>
      <c r="AY37" s="286">
        <f t="shared" si="18"/>
        <v>0</v>
      </c>
      <c r="AZ37" s="286">
        <f t="shared" si="18"/>
        <v>0</v>
      </c>
      <c r="BA37" s="286">
        <f t="shared" si="18"/>
        <v>0</v>
      </c>
      <c r="BB37" s="286">
        <f t="shared" si="18"/>
        <v>0</v>
      </c>
      <c r="BC37" s="286">
        <f t="shared" si="18"/>
        <v>0</v>
      </c>
      <c r="BD37" s="286">
        <f t="shared" si="18"/>
        <v>0</v>
      </c>
      <c r="BE37" s="286">
        <f t="shared" si="18"/>
        <v>0</v>
      </c>
      <c r="BF37" s="286">
        <f t="shared" si="18"/>
        <v>0</v>
      </c>
      <c r="BG37" s="286">
        <f t="shared" si="18"/>
        <v>0</v>
      </c>
      <c r="BH37" s="346">
        <f t="shared" si="18"/>
        <v>0</v>
      </c>
    </row>
    <row r="38" spans="1:67" s="190" customFormat="1" x14ac:dyDescent="0.2">
      <c r="A38" s="289" t="s">
        <v>635</v>
      </c>
      <c r="B38" s="287">
        <f t="shared" ref="B38:I38" si="19">IF(B27=0,0,B33)</f>
        <v>0</v>
      </c>
      <c r="C38" s="287">
        <f t="shared" si="19"/>
        <v>0</v>
      </c>
      <c r="D38" s="287">
        <f t="shared" si="19"/>
        <v>0</v>
      </c>
      <c r="E38" s="287">
        <f t="shared" si="19"/>
        <v>0</v>
      </c>
      <c r="F38" s="287">
        <f t="shared" si="19"/>
        <v>0</v>
      </c>
      <c r="G38" s="287">
        <f t="shared" si="19"/>
        <v>0</v>
      </c>
      <c r="H38" s="287">
        <f t="shared" si="19"/>
        <v>0</v>
      </c>
      <c r="I38" s="287">
        <f t="shared" si="19"/>
        <v>0</v>
      </c>
      <c r="J38" s="287">
        <f t="shared" ref="J38:AP38" si="20">IF(J27=0,0,J33-J39)</f>
        <v>0</v>
      </c>
      <c r="K38" s="287">
        <f t="shared" si="20"/>
        <v>0</v>
      </c>
      <c r="L38" s="287">
        <f t="shared" si="20"/>
        <v>0</v>
      </c>
      <c r="M38" s="287">
        <f t="shared" si="20"/>
        <v>0</v>
      </c>
      <c r="N38" s="287">
        <f t="shared" si="20"/>
        <v>4.27204546875</v>
      </c>
      <c r="O38" s="287">
        <f t="shared" si="20"/>
        <v>3.97517046875</v>
      </c>
      <c r="P38" s="287">
        <f t="shared" si="20"/>
        <v>3.67829546875</v>
      </c>
      <c r="Q38" s="287">
        <f t="shared" si="20"/>
        <v>3.38142046875</v>
      </c>
      <c r="R38" s="287">
        <f t="shared" si="20"/>
        <v>3.08454546875</v>
      </c>
      <c r="S38" s="287">
        <f t="shared" si="20"/>
        <v>2.78767046875</v>
      </c>
      <c r="T38" s="287">
        <f t="shared" si="20"/>
        <v>2.49079546875</v>
      </c>
      <c r="U38" s="287">
        <f t="shared" si="20"/>
        <v>2.19392046875</v>
      </c>
      <c r="V38" s="287">
        <f t="shared" si="20"/>
        <v>1.89704546875</v>
      </c>
      <c r="W38" s="287">
        <f t="shared" si="20"/>
        <v>1.60017046875</v>
      </c>
      <c r="X38" s="287">
        <f t="shared" si="20"/>
        <v>1.30329546875</v>
      </c>
      <c r="Y38" s="287">
        <f t="shared" si="20"/>
        <v>1.00642046875</v>
      </c>
      <c r="Z38" s="287">
        <f t="shared" si="20"/>
        <v>0.70954546875000002</v>
      </c>
      <c r="AA38" s="287">
        <f t="shared" si="20"/>
        <v>0.41267046875000002</v>
      </c>
      <c r="AB38" s="287">
        <f t="shared" si="20"/>
        <v>0.11579546875000002</v>
      </c>
      <c r="AC38" s="287">
        <f t="shared" si="20"/>
        <v>0</v>
      </c>
      <c r="AD38" s="287">
        <f t="shared" si="20"/>
        <v>0</v>
      </c>
      <c r="AE38" s="287">
        <f t="shared" si="20"/>
        <v>0</v>
      </c>
      <c r="AF38" s="287">
        <f t="shared" si="20"/>
        <v>0</v>
      </c>
      <c r="AG38" s="287">
        <f t="shared" si="20"/>
        <v>0</v>
      </c>
      <c r="AH38" s="287">
        <f t="shared" si="20"/>
        <v>0</v>
      </c>
      <c r="AI38" s="287">
        <f t="shared" si="20"/>
        <v>0</v>
      </c>
      <c r="AJ38" s="287">
        <f t="shared" si="20"/>
        <v>0</v>
      </c>
      <c r="AK38" s="287">
        <f t="shared" si="20"/>
        <v>0</v>
      </c>
      <c r="AL38" s="287">
        <f t="shared" si="20"/>
        <v>0</v>
      </c>
      <c r="AM38" s="287">
        <f t="shared" si="20"/>
        <v>0</v>
      </c>
      <c r="AN38" s="287">
        <f t="shared" si="20"/>
        <v>0</v>
      </c>
      <c r="AO38" s="287">
        <f t="shared" si="20"/>
        <v>0</v>
      </c>
      <c r="AP38" s="287">
        <f t="shared" si="20"/>
        <v>0</v>
      </c>
      <c r="AQ38" s="287">
        <f t="shared" ref="AQ38:AW38" si="21">IF(AQ23=0,0,IF(AQ27=0,0,AQ33-AQ39))</f>
        <v>0</v>
      </c>
      <c r="AR38" s="287">
        <f t="shared" si="21"/>
        <v>0</v>
      </c>
      <c r="AS38" s="287">
        <f t="shared" si="21"/>
        <v>0</v>
      </c>
      <c r="AT38" s="287">
        <f t="shared" si="21"/>
        <v>0</v>
      </c>
      <c r="AU38" s="287">
        <f t="shared" si="21"/>
        <v>0</v>
      </c>
      <c r="AV38" s="287">
        <f t="shared" si="21"/>
        <v>0</v>
      </c>
      <c r="AW38" s="287">
        <f t="shared" si="21"/>
        <v>0</v>
      </c>
      <c r="AX38" s="287">
        <f t="shared" ref="AX38:BH38" si="22">IF(AX27=0,0,AX33)</f>
        <v>0</v>
      </c>
      <c r="AY38" s="287">
        <f t="shared" si="22"/>
        <v>0</v>
      </c>
      <c r="AZ38" s="287">
        <f t="shared" si="22"/>
        <v>0</v>
      </c>
      <c r="BA38" s="287">
        <f t="shared" si="22"/>
        <v>0</v>
      </c>
      <c r="BB38" s="287">
        <f t="shared" si="22"/>
        <v>0</v>
      </c>
      <c r="BC38" s="287">
        <f t="shared" si="22"/>
        <v>0</v>
      </c>
      <c r="BD38" s="287">
        <f t="shared" si="22"/>
        <v>0</v>
      </c>
      <c r="BE38" s="287">
        <f t="shared" si="22"/>
        <v>0</v>
      </c>
      <c r="BF38" s="287">
        <f t="shared" si="22"/>
        <v>0</v>
      </c>
      <c r="BG38" s="287">
        <f t="shared" si="22"/>
        <v>0</v>
      </c>
      <c r="BH38" s="347">
        <f t="shared" si="22"/>
        <v>0</v>
      </c>
    </row>
    <row r="39" spans="1:67" s="190" customFormat="1" ht="13.5" thickBot="1" x14ac:dyDescent="0.25">
      <c r="A39" s="372" t="s">
        <v>636</v>
      </c>
      <c r="B39" s="373">
        <f>IF(B40=0,0,IF(B35&lt;B33,B35,B33))</f>
        <v>0</v>
      </c>
      <c r="C39" s="373">
        <f t="shared" ref="C39:BH39" si="23">IF(C40=0,0,IF(C35&lt;C33,C35,C33))</f>
        <v>0</v>
      </c>
      <c r="D39" s="373">
        <f t="shared" si="23"/>
        <v>0</v>
      </c>
      <c r="E39" s="373">
        <f t="shared" si="23"/>
        <v>0</v>
      </c>
      <c r="F39" s="373">
        <f t="shared" si="23"/>
        <v>0</v>
      </c>
      <c r="G39" s="373">
        <f t="shared" si="23"/>
        <v>0</v>
      </c>
      <c r="H39" s="373">
        <f t="shared" si="23"/>
        <v>0</v>
      </c>
      <c r="I39" s="373">
        <f t="shared" si="23"/>
        <v>0</v>
      </c>
      <c r="J39" s="373">
        <f t="shared" si="23"/>
        <v>0</v>
      </c>
      <c r="K39" s="373">
        <f t="shared" si="23"/>
        <v>0</v>
      </c>
      <c r="L39" s="373">
        <f t="shared" si="23"/>
        <v>0</v>
      </c>
      <c r="M39" s="373">
        <f t="shared" si="23"/>
        <v>0</v>
      </c>
      <c r="N39" s="373">
        <f t="shared" si="23"/>
        <v>4.63420453125</v>
      </c>
      <c r="O39" s="373">
        <f t="shared" si="23"/>
        <v>4.63420453125</v>
      </c>
      <c r="P39" s="373">
        <f t="shared" si="23"/>
        <v>4.63420453125</v>
      </c>
      <c r="Q39" s="373">
        <f t="shared" si="23"/>
        <v>4.63420453125</v>
      </c>
      <c r="R39" s="373">
        <f t="shared" si="23"/>
        <v>4.63420453125</v>
      </c>
      <c r="S39" s="373">
        <f t="shared" si="23"/>
        <v>4.63420453125</v>
      </c>
      <c r="T39" s="373">
        <f t="shared" si="23"/>
        <v>4.63420453125</v>
      </c>
      <c r="U39" s="373">
        <f t="shared" si="23"/>
        <v>4.63420453125</v>
      </c>
      <c r="V39" s="373">
        <f t="shared" si="23"/>
        <v>4.63420453125</v>
      </c>
      <c r="W39" s="373">
        <f t="shared" si="23"/>
        <v>4.63420453125</v>
      </c>
      <c r="X39" s="373">
        <f t="shared" si="23"/>
        <v>4.63420453125</v>
      </c>
      <c r="Y39" s="373">
        <f t="shared" si="23"/>
        <v>4.63420453125</v>
      </c>
      <c r="Z39" s="373">
        <f t="shared" si="23"/>
        <v>4.63420453125</v>
      </c>
      <c r="AA39" s="373">
        <f t="shared" si="23"/>
        <v>4.63420453125</v>
      </c>
      <c r="AB39" s="373">
        <f t="shared" si="23"/>
        <v>4.63420453125</v>
      </c>
      <c r="AC39" s="373">
        <f t="shared" si="23"/>
        <v>4.453125</v>
      </c>
      <c r="AD39" s="373">
        <f t="shared" si="23"/>
        <v>4.15625</v>
      </c>
      <c r="AE39" s="373">
        <f t="shared" si="23"/>
        <v>3.859375</v>
      </c>
      <c r="AF39" s="373">
        <f t="shared" si="23"/>
        <v>3.5625</v>
      </c>
      <c r="AG39" s="373">
        <f t="shared" si="23"/>
        <v>3.265625</v>
      </c>
      <c r="AH39" s="373">
        <f t="shared" si="23"/>
        <v>2.96875</v>
      </c>
      <c r="AI39" s="373">
        <f t="shared" si="23"/>
        <v>2.671875</v>
      </c>
      <c r="AJ39" s="373">
        <f t="shared" si="23"/>
        <v>2.375</v>
      </c>
      <c r="AK39" s="373">
        <f t="shared" si="23"/>
        <v>2.078125</v>
      </c>
      <c r="AL39" s="373">
        <f t="shared" si="23"/>
        <v>1.78125</v>
      </c>
      <c r="AM39" s="373">
        <f t="shared" si="23"/>
        <v>1.484375</v>
      </c>
      <c r="AN39" s="373">
        <f t="shared" si="23"/>
        <v>1.1875</v>
      </c>
      <c r="AO39" s="373">
        <f t="shared" si="23"/>
        <v>0.890625</v>
      </c>
      <c r="AP39" s="373">
        <f t="shared" si="23"/>
        <v>0.59375</v>
      </c>
      <c r="AQ39" s="373">
        <f t="shared" si="23"/>
        <v>0.296875</v>
      </c>
      <c r="AR39" s="373">
        <f t="shared" si="23"/>
        <v>0</v>
      </c>
      <c r="AS39" s="373">
        <f t="shared" si="23"/>
        <v>0</v>
      </c>
      <c r="AT39" s="373">
        <f t="shared" si="23"/>
        <v>0</v>
      </c>
      <c r="AU39" s="373">
        <f t="shared" si="23"/>
        <v>0</v>
      </c>
      <c r="AV39" s="373">
        <f t="shared" si="23"/>
        <v>0</v>
      </c>
      <c r="AW39" s="373">
        <f t="shared" si="23"/>
        <v>0</v>
      </c>
      <c r="AX39" s="373">
        <f t="shared" si="23"/>
        <v>0</v>
      </c>
      <c r="AY39" s="373">
        <f t="shared" si="23"/>
        <v>0</v>
      </c>
      <c r="AZ39" s="373">
        <f t="shared" si="23"/>
        <v>0</v>
      </c>
      <c r="BA39" s="373">
        <f t="shared" si="23"/>
        <v>0</v>
      </c>
      <c r="BB39" s="373">
        <f t="shared" si="23"/>
        <v>0</v>
      </c>
      <c r="BC39" s="373">
        <f t="shared" si="23"/>
        <v>0</v>
      </c>
      <c r="BD39" s="373">
        <f t="shared" si="23"/>
        <v>0</v>
      </c>
      <c r="BE39" s="373">
        <f t="shared" si="23"/>
        <v>0</v>
      </c>
      <c r="BF39" s="373">
        <f t="shared" si="23"/>
        <v>0</v>
      </c>
      <c r="BG39" s="373">
        <f t="shared" si="23"/>
        <v>0</v>
      </c>
      <c r="BH39" s="373">
        <f t="shared" si="23"/>
        <v>0</v>
      </c>
    </row>
    <row r="40" spans="1:67" s="190" customFormat="1" ht="13.5" hidden="1" thickBot="1" x14ac:dyDescent="0.25">
      <c r="A40" s="268"/>
      <c r="B40" s="214">
        <f t="shared" ref="B40:AG40" si="24">IF(B27=0,0,B33)</f>
        <v>0</v>
      </c>
      <c r="C40" s="214">
        <f t="shared" si="24"/>
        <v>0</v>
      </c>
      <c r="D40" s="214">
        <f t="shared" si="24"/>
        <v>0</v>
      </c>
      <c r="E40" s="214">
        <f t="shared" si="24"/>
        <v>0</v>
      </c>
      <c r="F40" s="214">
        <f t="shared" si="24"/>
        <v>0</v>
      </c>
      <c r="G40" s="214">
        <f t="shared" si="24"/>
        <v>0</v>
      </c>
      <c r="H40" s="214">
        <f t="shared" si="24"/>
        <v>0</v>
      </c>
      <c r="I40" s="214">
        <f t="shared" si="24"/>
        <v>0</v>
      </c>
      <c r="J40" s="214">
        <f t="shared" si="24"/>
        <v>0</v>
      </c>
      <c r="K40" s="214">
        <f t="shared" si="24"/>
        <v>0</v>
      </c>
      <c r="L40" s="214">
        <f t="shared" si="24"/>
        <v>0</v>
      </c>
      <c r="M40" s="214">
        <f t="shared" si="24"/>
        <v>0</v>
      </c>
      <c r="N40" s="214">
        <f t="shared" si="24"/>
        <v>8.90625</v>
      </c>
      <c r="O40" s="214">
        <f t="shared" si="24"/>
        <v>8.609375</v>
      </c>
      <c r="P40" s="214">
        <f t="shared" si="24"/>
        <v>8.3125</v>
      </c>
      <c r="Q40" s="214">
        <f t="shared" si="24"/>
        <v>8.015625</v>
      </c>
      <c r="R40" s="214">
        <f t="shared" si="24"/>
        <v>7.71875</v>
      </c>
      <c r="S40" s="214">
        <f t="shared" si="24"/>
        <v>7.421875</v>
      </c>
      <c r="T40" s="214">
        <f t="shared" si="24"/>
        <v>7.125</v>
      </c>
      <c r="U40" s="214">
        <f t="shared" si="24"/>
        <v>6.828125</v>
      </c>
      <c r="V40" s="214">
        <f t="shared" si="24"/>
        <v>6.53125</v>
      </c>
      <c r="W40" s="214">
        <f t="shared" si="24"/>
        <v>6.234375</v>
      </c>
      <c r="X40" s="214">
        <f t="shared" si="24"/>
        <v>5.9375</v>
      </c>
      <c r="Y40" s="214">
        <f t="shared" si="24"/>
        <v>5.640625</v>
      </c>
      <c r="Z40" s="214">
        <f t="shared" si="24"/>
        <v>5.34375</v>
      </c>
      <c r="AA40" s="214">
        <f t="shared" si="24"/>
        <v>5.046875</v>
      </c>
      <c r="AB40" s="214">
        <f t="shared" si="24"/>
        <v>4.75</v>
      </c>
      <c r="AC40" s="214">
        <f t="shared" si="24"/>
        <v>4.453125</v>
      </c>
      <c r="AD40" s="214">
        <f t="shared" si="24"/>
        <v>4.15625</v>
      </c>
      <c r="AE40" s="214">
        <f t="shared" si="24"/>
        <v>3.859375</v>
      </c>
      <c r="AF40" s="214">
        <f t="shared" si="24"/>
        <v>3.5625</v>
      </c>
      <c r="AG40" s="214">
        <f t="shared" si="24"/>
        <v>3.265625</v>
      </c>
      <c r="AH40" s="214">
        <f t="shared" ref="AH40:BH40" si="25">IF(AH27=0,0,AH33)</f>
        <v>2.96875</v>
      </c>
      <c r="AI40" s="214">
        <f t="shared" si="25"/>
        <v>2.671875</v>
      </c>
      <c r="AJ40" s="214">
        <f t="shared" si="25"/>
        <v>2.375</v>
      </c>
      <c r="AK40" s="214">
        <f t="shared" si="25"/>
        <v>2.078125</v>
      </c>
      <c r="AL40" s="214">
        <f t="shared" si="25"/>
        <v>1.78125</v>
      </c>
      <c r="AM40" s="214">
        <f t="shared" si="25"/>
        <v>1.484375</v>
      </c>
      <c r="AN40" s="214">
        <f t="shared" si="25"/>
        <v>1.1875</v>
      </c>
      <c r="AO40" s="214">
        <f t="shared" si="25"/>
        <v>0.890625</v>
      </c>
      <c r="AP40" s="214">
        <f t="shared" si="25"/>
        <v>0.59375</v>
      </c>
      <c r="AQ40" s="214">
        <f t="shared" si="25"/>
        <v>0.296875</v>
      </c>
      <c r="AR40" s="214">
        <f t="shared" si="25"/>
        <v>0</v>
      </c>
      <c r="AS40" s="214">
        <f t="shared" si="25"/>
        <v>0</v>
      </c>
      <c r="AT40" s="214">
        <f t="shared" si="25"/>
        <v>0</v>
      </c>
      <c r="AU40" s="214">
        <f t="shared" si="25"/>
        <v>0</v>
      </c>
      <c r="AV40" s="214">
        <f t="shared" si="25"/>
        <v>0</v>
      </c>
      <c r="AW40" s="214">
        <f t="shared" si="25"/>
        <v>0</v>
      </c>
      <c r="AX40" s="214">
        <f t="shared" si="25"/>
        <v>0</v>
      </c>
      <c r="AY40" s="214">
        <f t="shared" si="25"/>
        <v>0</v>
      </c>
      <c r="AZ40" s="214">
        <f t="shared" si="25"/>
        <v>0</v>
      </c>
      <c r="BA40" s="214">
        <f t="shared" si="25"/>
        <v>0</v>
      </c>
      <c r="BB40" s="214">
        <f t="shared" si="25"/>
        <v>0</v>
      </c>
      <c r="BC40" s="214">
        <f t="shared" si="25"/>
        <v>0</v>
      </c>
      <c r="BD40" s="214">
        <f t="shared" si="25"/>
        <v>0</v>
      </c>
      <c r="BE40" s="214">
        <f t="shared" si="25"/>
        <v>0</v>
      </c>
      <c r="BF40" s="214">
        <f t="shared" si="25"/>
        <v>0</v>
      </c>
      <c r="BG40" s="214">
        <f t="shared" si="25"/>
        <v>0</v>
      </c>
      <c r="BH40" s="214">
        <f t="shared" si="25"/>
        <v>0</v>
      </c>
    </row>
    <row r="41" spans="1:67" s="190" customFormat="1" ht="6.75" hidden="1" customHeight="1" x14ac:dyDescent="0.2">
      <c r="A41" s="263"/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</row>
    <row r="42" spans="1:67" s="190" customFormat="1" ht="13.5" hidden="1" thickBot="1" x14ac:dyDescent="0.25">
      <c r="A42" s="268" t="s">
        <v>189</v>
      </c>
      <c r="B42" s="214">
        <f>B23*(Données!$L$19-3-Résultats!B5)</f>
        <v>0</v>
      </c>
      <c r="C42" s="214">
        <f>C23*(Données!$L$19-3-Résultats!C5)</f>
        <v>0</v>
      </c>
      <c r="D42" s="214">
        <f>D23*(Données!$L$19-3-Résultats!D5)</f>
        <v>0</v>
      </c>
      <c r="E42" s="214">
        <f>E23*(Données!$L$19-3-Résultats!E5)</f>
        <v>0</v>
      </c>
      <c r="F42" s="214">
        <f>F23*(Données!$L$19-3-Résultats!F5)</f>
        <v>0</v>
      </c>
      <c r="G42" s="214">
        <f>G23*(Données!$L$19-3-Résultats!G5)</f>
        <v>0</v>
      </c>
      <c r="H42" s="214">
        <f>H23*(Données!$L$19-3-Résultats!H5)</f>
        <v>0</v>
      </c>
      <c r="I42" s="214">
        <f>I23*(Données!$L$19-3-Résultats!I5)</f>
        <v>0</v>
      </c>
      <c r="J42" s="214">
        <f>J23*(Données!$L$19-3-Résultats!J5)</f>
        <v>0</v>
      </c>
      <c r="K42" s="214">
        <f>K23*(Données!$L$19-3-Résultats!K5)</f>
        <v>0</v>
      </c>
      <c r="L42" s="214">
        <f>L23*(Données!$L$19-3-Résultats!L5)</f>
        <v>0</v>
      </c>
      <c r="M42" s="214">
        <f>M23*(Données!$L$19-3-Résultats!M5)</f>
        <v>0</v>
      </c>
      <c r="N42" s="214">
        <f>N23*(Données!$L$19-3-Résultats!N5)</f>
        <v>3</v>
      </c>
      <c r="O42" s="214">
        <f>O23*(Données!$L$19-3-Résultats!O5)</f>
        <v>4.3499999999999996</v>
      </c>
      <c r="P42" s="214">
        <f>P23*(Données!$L$19-3-Résultats!P5)</f>
        <v>2.8000000000000003</v>
      </c>
      <c r="Q42" s="214">
        <f>Q23*(Données!$L$19-3-Résultats!Q5)</f>
        <v>4.05</v>
      </c>
      <c r="R42" s="214">
        <f>R23*(Données!$L$19-3-Résultats!R5)</f>
        <v>9.1</v>
      </c>
      <c r="S42" s="214">
        <f>S23*(Données!$L$19-3-Résultats!S5)</f>
        <v>12.5</v>
      </c>
      <c r="T42" s="214">
        <f>T23*(Données!$L$19-3-Résultats!T5)</f>
        <v>19.200000000000003</v>
      </c>
      <c r="U42" s="214">
        <f>U23*(Données!$L$19-3-Résultats!U5)</f>
        <v>37.949999999999996</v>
      </c>
      <c r="V42" s="214">
        <f>V23*(Données!$L$19-3-Résultats!V5)</f>
        <v>52.8</v>
      </c>
      <c r="W42" s="214">
        <f>W23*(Données!$L$19-3-Résultats!W5)</f>
        <v>71.399999999999991</v>
      </c>
      <c r="X42" s="214">
        <f>X23*(Données!$L$19-3-Résultats!X5)</f>
        <v>71</v>
      </c>
      <c r="Y42" s="214">
        <f>Y23*(Données!$L$19-3-Résultats!Y5)</f>
        <v>120.64999999999999</v>
      </c>
      <c r="Z42" s="214">
        <f>Z23*(Données!$L$19-3-Résultats!Z5)</f>
        <v>123.3</v>
      </c>
      <c r="AA42" s="214">
        <f>AA23*(Données!$L$19-3-Résultats!AA5)</f>
        <v>143.64999999999998</v>
      </c>
      <c r="AB42" s="214">
        <f>AB23*(Données!$L$19-3-Résultats!AB5)</f>
        <v>156.80000000000001</v>
      </c>
      <c r="AC42" s="214">
        <f>AC23*(Données!$L$19-3-Résultats!AC5)</f>
        <v>155.25</v>
      </c>
      <c r="AD42" s="214">
        <f>AD23*(Données!$L$19-3-Résultats!AD5)</f>
        <v>167.29999999999998</v>
      </c>
      <c r="AE42" s="214">
        <f>AE23*(Données!$L$19-3-Résultats!AE5)</f>
        <v>185.25</v>
      </c>
      <c r="AF42" s="214">
        <f>AF23*(Données!$L$19-3-Résultats!AF5)</f>
        <v>189</v>
      </c>
      <c r="AG42" s="214">
        <f>AG23*(Données!$L$19-3-Résultats!AG5)</f>
        <v>163.9</v>
      </c>
      <c r="AH42" s="214">
        <f>AH23*(Données!$L$19-3-Résultats!AH5)</f>
        <v>160.5</v>
      </c>
      <c r="AI42" s="214">
        <f>AI23*(Données!$L$19-3-Résultats!AI5)</f>
        <v>142.20000000000002</v>
      </c>
      <c r="AJ42" s="214">
        <f>AJ23*(Données!$L$19-3-Résultats!AJ5)</f>
        <v>124</v>
      </c>
      <c r="AK42" s="214">
        <f>AK23*(Données!$L$19-3-Résultats!AK5)</f>
        <v>102.74249999999999</v>
      </c>
      <c r="AL42" s="214">
        <f>AL23*(Données!$L$19-3-Résultats!AL5)</f>
        <v>80.19</v>
      </c>
      <c r="AM42" s="214">
        <f>AM23*(Données!$L$19-3-Résultats!AM5)</f>
        <v>58.224999999999994</v>
      </c>
      <c r="AN42" s="214">
        <f>AN23*(Données!$L$19-3-Résultats!AN5)</f>
        <v>41.3</v>
      </c>
      <c r="AO42" s="214">
        <f>AO23*(Données!$L$19-3-Résultats!AO5)</f>
        <v>30.06</v>
      </c>
      <c r="AP42" s="214">
        <f>AP23*(Données!$L$19-3-Résultats!AP5)</f>
        <v>13.8</v>
      </c>
      <c r="AQ42" s="214">
        <f>AQ23*(Données!$L$19-3-Résultats!AQ5)</f>
        <v>5.7225000000000001</v>
      </c>
      <c r="AR42" s="214">
        <f>AR23*(Données!$L$19-3-Résultats!AR5)</f>
        <v>0</v>
      </c>
      <c r="AS42" s="214">
        <f>AS23*(Données!$L$19-3-Résultats!AS5)</f>
        <v>0</v>
      </c>
      <c r="AT42" s="214">
        <f>AT23*(Données!$L$19-3-Résultats!AT5)</f>
        <v>0</v>
      </c>
      <c r="AU42" s="214">
        <f>AU23*(Données!$L$19-3-Résultats!AU5)</f>
        <v>0</v>
      </c>
      <c r="AV42" s="214">
        <f>AV23*(Données!$L$19-3-Résultats!AV5)</f>
        <v>0</v>
      </c>
      <c r="AW42" s="214">
        <f>AW23*(Données!$L$19-3-Résultats!AW5)</f>
        <v>0</v>
      </c>
      <c r="AX42" s="214">
        <f>AX23*(Données!$L$19-3-Résultats!AX5)</f>
        <v>0</v>
      </c>
      <c r="AY42" s="214">
        <f>AY23*(Données!$L$19-3-Résultats!AY5)</f>
        <v>0</v>
      </c>
      <c r="AZ42" s="214">
        <f>AZ23*(Données!$L$19-3-Résultats!AZ5)</f>
        <v>0</v>
      </c>
      <c r="BA42" s="214">
        <f>BA23*(Données!$L$19-3-Résultats!BA5)</f>
        <v>0</v>
      </c>
      <c r="BB42" s="214">
        <f>BB23*(Données!$L$19-3-Résultats!BB5)</f>
        <v>0</v>
      </c>
      <c r="BC42" s="214">
        <f>BC23*(Données!$L$19-3-Résultats!BC5)</f>
        <v>0</v>
      </c>
      <c r="BD42" s="214">
        <f>BD23*(Données!$L$19-3-Résultats!BD5)</f>
        <v>0</v>
      </c>
      <c r="BE42" s="214">
        <f>BE23*(Données!$L$19-3-Résultats!BE5)</f>
        <v>0</v>
      </c>
      <c r="BF42" s="214">
        <f>BF23*(Données!$L$19-3-Résultats!BF5)</f>
        <v>0</v>
      </c>
      <c r="BG42" s="214">
        <f>BG23*(Données!$L$19-3-Résultats!BG5)</f>
        <v>0</v>
      </c>
      <c r="BH42" s="214">
        <f>BH23*(Données!$L$19-3-Résultats!BH5)</f>
        <v>0</v>
      </c>
      <c r="BI42" s="190">
        <f>SUM(B42:BE42)</f>
        <v>2451.9899999999998</v>
      </c>
      <c r="BJ42" s="190">
        <f>BI42*0.75</f>
        <v>1838.9924999999998</v>
      </c>
    </row>
    <row r="43" spans="1:67" s="280" customFormat="1" x14ac:dyDescent="0.2">
      <c r="A43" s="302" t="s">
        <v>640</v>
      </c>
      <c r="B43" s="279">
        <f t="shared" ref="B43:AG43" si="26">B37*B25</f>
        <v>0</v>
      </c>
      <c r="C43" s="279">
        <f t="shared" si="26"/>
        <v>0</v>
      </c>
      <c r="D43" s="279">
        <f t="shared" si="26"/>
        <v>0</v>
      </c>
      <c r="E43" s="279">
        <f t="shared" si="26"/>
        <v>0</v>
      </c>
      <c r="F43" s="279">
        <f t="shared" si="26"/>
        <v>0</v>
      </c>
      <c r="G43" s="279">
        <f t="shared" si="26"/>
        <v>0</v>
      </c>
      <c r="H43" s="279">
        <f t="shared" si="26"/>
        <v>0</v>
      </c>
      <c r="I43" s="279">
        <f t="shared" si="26"/>
        <v>0</v>
      </c>
      <c r="J43" s="279">
        <f t="shared" si="26"/>
        <v>0</v>
      </c>
      <c r="K43" s="279">
        <f t="shared" si="26"/>
        <v>0</v>
      </c>
      <c r="L43" s="279">
        <f t="shared" si="26"/>
        <v>0</v>
      </c>
      <c r="M43" s="279">
        <f t="shared" si="26"/>
        <v>0</v>
      </c>
      <c r="N43" s="279">
        <f t="shared" si="26"/>
        <v>8.3450803954736834</v>
      </c>
      <c r="O43" s="279">
        <f t="shared" si="26"/>
        <v>12.556860783157891</v>
      </c>
      <c r="P43" s="279">
        <f t="shared" si="26"/>
        <v>8.3992692292105264</v>
      </c>
      <c r="Q43" s="279">
        <f t="shared" si="26"/>
        <v>12.644061205263156</v>
      </c>
      <c r="R43" s="279">
        <f t="shared" si="26"/>
        <v>29.616281823097168</v>
      </c>
      <c r="S43" s="279">
        <f t="shared" si="26"/>
        <v>42.484045649684219</v>
      </c>
      <c r="T43" s="279">
        <f t="shared" si="26"/>
        <v>68.277930508421051</v>
      </c>
      <c r="U43" s="279">
        <f t="shared" si="26"/>
        <v>141.50353714064073</v>
      </c>
      <c r="V43" s="279">
        <f t="shared" si="26"/>
        <v>206.90281972248803</v>
      </c>
      <c r="W43" s="279">
        <f t="shared" si="26"/>
        <v>294.7872555284211</v>
      </c>
      <c r="X43" s="279">
        <f t="shared" si="26"/>
        <v>309.71627922292106</v>
      </c>
      <c r="Y43" s="279">
        <f t="shared" si="26"/>
        <v>557.80274222376727</v>
      </c>
      <c r="Z43" s="279">
        <f t="shared" si="26"/>
        <v>606.28273479236827</v>
      </c>
      <c r="AA43" s="279">
        <f t="shared" si="26"/>
        <v>754.18106247863773</v>
      </c>
      <c r="AB43" s="279">
        <f t="shared" si="26"/>
        <v>882.87157365749999</v>
      </c>
      <c r="AC43" s="279">
        <f t="shared" si="26"/>
        <v>905.41800000000001</v>
      </c>
      <c r="AD43" s="279">
        <f t="shared" si="26"/>
        <v>987.30899999999997</v>
      </c>
      <c r="AE43" s="279">
        <f t="shared" si="26"/>
        <v>1108.08</v>
      </c>
      <c r="AF43" s="279">
        <f t="shared" si="26"/>
        <v>1148.175</v>
      </c>
      <c r="AG43" s="279">
        <f t="shared" si="26"/>
        <v>1013.7959999999999</v>
      </c>
      <c r="AH43" s="279">
        <f t="shared" ref="AH43:BH43" si="27">AH37*AH25</f>
        <v>1014.0390000000001</v>
      </c>
      <c r="AI43" s="279">
        <f t="shared" si="27"/>
        <v>921.45600000000002</v>
      </c>
      <c r="AJ43" s="279">
        <f t="shared" si="27"/>
        <v>828.63</v>
      </c>
      <c r="AK43" s="279">
        <f t="shared" si="27"/>
        <v>713.32650000000012</v>
      </c>
      <c r="AL43" s="279">
        <f t="shared" si="27"/>
        <v>584.58510000000012</v>
      </c>
      <c r="AM43" s="279">
        <f t="shared" si="27"/>
        <v>452.75760000000002</v>
      </c>
      <c r="AN43" s="279">
        <f t="shared" si="27"/>
        <v>351.25650000000002</v>
      </c>
      <c r="AO43" s="279">
        <f t="shared" si="27"/>
        <v>292.18319999999994</v>
      </c>
      <c r="AP43" s="279">
        <f t="shared" si="27"/>
        <v>167.67</v>
      </c>
      <c r="AQ43" s="279">
        <f t="shared" si="27"/>
        <v>111.24539999999999</v>
      </c>
      <c r="AR43" s="279">
        <f t="shared" si="27"/>
        <v>0</v>
      </c>
      <c r="AS43" s="279">
        <f t="shared" si="27"/>
        <v>0</v>
      </c>
      <c r="AT43" s="279">
        <f t="shared" si="27"/>
        <v>0</v>
      </c>
      <c r="AU43" s="279">
        <f t="shared" si="27"/>
        <v>0</v>
      </c>
      <c r="AV43" s="279">
        <f t="shared" si="27"/>
        <v>0</v>
      </c>
      <c r="AW43" s="279">
        <f t="shared" si="27"/>
        <v>0</v>
      </c>
      <c r="AX43" s="279">
        <f t="shared" si="27"/>
        <v>0</v>
      </c>
      <c r="AY43" s="279">
        <f t="shared" si="27"/>
        <v>0</v>
      </c>
      <c r="AZ43" s="279">
        <f t="shared" si="27"/>
        <v>0</v>
      </c>
      <c r="BA43" s="279">
        <f t="shared" si="27"/>
        <v>0</v>
      </c>
      <c r="BB43" s="279">
        <f t="shared" si="27"/>
        <v>0</v>
      </c>
      <c r="BC43" s="279">
        <f t="shared" si="27"/>
        <v>0</v>
      </c>
      <c r="BD43" s="279">
        <f t="shared" si="27"/>
        <v>0</v>
      </c>
      <c r="BE43" s="279">
        <f t="shared" si="27"/>
        <v>0</v>
      </c>
      <c r="BF43" s="279">
        <f t="shared" si="27"/>
        <v>0</v>
      </c>
      <c r="BG43" s="279">
        <f t="shared" si="27"/>
        <v>0</v>
      </c>
      <c r="BH43" s="344">
        <f t="shared" si="27"/>
        <v>0</v>
      </c>
      <c r="BI43" s="299">
        <f>SUM(G43:BH43)</f>
        <v>14536.29883436105</v>
      </c>
      <c r="BJ43" s="299" t="s">
        <v>659</v>
      </c>
      <c r="BK43" s="299"/>
    </row>
    <row r="44" spans="1:67" s="280" customFormat="1" x14ac:dyDescent="0.2">
      <c r="A44" s="303" t="s">
        <v>642</v>
      </c>
      <c r="B44" s="288">
        <f>B43/'Consommations et côuts de prod'!$E$12</f>
        <v>0</v>
      </c>
      <c r="C44" s="288">
        <f>C43/'Consommations et côuts de prod'!$E$12</f>
        <v>0</v>
      </c>
      <c r="D44" s="288">
        <f>D43/'Consommations et côuts de prod'!$E$12</f>
        <v>0</v>
      </c>
      <c r="E44" s="288">
        <f>E43/'Consommations et côuts de prod'!$E$12</f>
        <v>0</v>
      </c>
      <c r="F44" s="288">
        <f>F43/'Consommations et côuts de prod'!$E$12</f>
        <v>0</v>
      </c>
      <c r="G44" s="288">
        <f>G43/'Consommations et côuts de prod'!$E$12</f>
        <v>0</v>
      </c>
      <c r="H44" s="288">
        <f>H43/'Consommations et côuts de prod'!$E$12</f>
        <v>0</v>
      </c>
      <c r="I44" s="288">
        <f>I43/'Consommations et côuts de prod'!$E$12</f>
        <v>0</v>
      </c>
      <c r="J44" s="288">
        <f>J43/'Consommations et côuts de prod'!$E$12</f>
        <v>0</v>
      </c>
      <c r="K44" s="288">
        <f>K43/'Consommations et côuts de prod'!$E$12</f>
        <v>0</v>
      </c>
      <c r="L44" s="288">
        <f>L43/'Consommations et côuts de prod'!$E$12</f>
        <v>0</v>
      </c>
      <c r="M44" s="288">
        <f>M43/'Consommations et côuts de prod'!$E$12</f>
        <v>0</v>
      </c>
      <c r="N44" s="288">
        <f>N43/'Consommations et côuts de prod'!$E$12</f>
        <v>9.2826255789473677</v>
      </c>
      <c r="O44" s="288">
        <f>O43/'Consommations et côuts de prod'!$E$12</f>
        <v>13.967587078039923</v>
      </c>
      <c r="P44" s="288">
        <f>P43/'Consommations et côuts de prod'!$E$12</f>
        <v>9.3429023684210524</v>
      </c>
      <c r="Q44" s="288">
        <f>Q43/'Consommations et côuts de prod'!$E$12</f>
        <v>14.064584210526315</v>
      </c>
      <c r="R44" s="288">
        <f>R43/'Consommations et côuts de prod'!$E$12</f>
        <v>32.943583785425105</v>
      </c>
      <c r="S44" s="288">
        <f>S43/'Consommations et côuts de prod'!$E$12</f>
        <v>47.257002947368427</v>
      </c>
      <c r="T44" s="288">
        <f>T43/'Consommations et côuts de prod'!$E$12</f>
        <v>75.948754736842105</v>
      </c>
      <c r="U44" s="288">
        <f>U43/'Consommations et côuts de prod'!$E$12</f>
        <v>157.4010424256293</v>
      </c>
      <c r="V44" s="288">
        <f>V43/'Consommations et côuts de prod'!$E$12</f>
        <v>230.14774162679424</v>
      </c>
      <c r="W44" s="288">
        <f>W43/'Consommations et côuts de prod'!$E$12</f>
        <v>327.90573473684213</v>
      </c>
      <c r="X44" s="288">
        <f>X43/'Consommations et côuts de prod'!$E$12</f>
        <v>344.51199023684211</v>
      </c>
      <c r="Y44" s="288">
        <f>Y43/'Consommations et côuts de prod'!$E$12</f>
        <v>620.4702360664819</v>
      </c>
      <c r="Z44" s="288">
        <f>Z43/'Consommations et côuts de prod'!$E$12</f>
        <v>674.39681289473663</v>
      </c>
      <c r="AA44" s="288">
        <f>AA43/'Consommations et côuts de prod'!$E$12</f>
        <v>838.91108173374607</v>
      </c>
      <c r="AB44" s="288">
        <f>AB43/'Consommations et côuts de prod'!$E$12</f>
        <v>982.05959250000001</v>
      </c>
      <c r="AC44" s="288">
        <f>AC43/'Consommations et côuts de prod'!$E$12</f>
        <v>1007.139043381535</v>
      </c>
      <c r="AD44" s="288">
        <f>AD43/'Consommations et côuts de prod'!$E$12</f>
        <v>1098.2302558398219</v>
      </c>
      <c r="AE44" s="288">
        <f>AE43/'Consommations et côuts de prod'!$E$12</f>
        <v>1232.5695216907675</v>
      </c>
      <c r="AF44" s="288">
        <f>AF43/'Consommations et côuts de prod'!$E$12</f>
        <v>1277.1690767519465</v>
      </c>
      <c r="AG44" s="288">
        <f>AG43/'Consommations et côuts de prod'!$E$12</f>
        <v>1127.6929922135705</v>
      </c>
      <c r="AH44" s="288">
        <f>AH43/'Consommations et côuts de prod'!$E$12</f>
        <v>1127.9632925472749</v>
      </c>
      <c r="AI44" s="288">
        <f>AI43/'Consommations et côuts de prod'!$E$12</f>
        <v>1024.9788654060067</v>
      </c>
      <c r="AJ44" s="288">
        <f>AJ43/'Consommations et côuts de prod'!$E$12</f>
        <v>921.72413793103442</v>
      </c>
      <c r="AK44" s="288">
        <f>AK43/'Consommations et côuts de prod'!$E$12</f>
        <v>793.46662958843172</v>
      </c>
      <c r="AL44" s="288">
        <f>AL43/'Consommations et côuts de prod'!$E$12</f>
        <v>650.26151279199121</v>
      </c>
      <c r="AM44" s="288">
        <f>AM43/'Consommations et côuts de prod'!$E$12</f>
        <v>503.62358175750836</v>
      </c>
      <c r="AN44" s="288">
        <f>AN43/'Consommations et côuts de prod'!$E$12</f>
        <v>390.71913236929925</v>
      </c>
      <c r="AO44" s="288">
        <f>AO43/'Consommations et côuts de prod'!$E$12</f>
        <v>325.00912124582862</v>
      </c>
      <c r="AP44" s="288">
        <f>AP43/'Consommations et côuts de prod'!$E$12</f>
        <v>186.5072302558398</v>
      </c>
      <c r="AQ44" s="288">
        <f>AQ43/'Consommations et côuts de prod'!$E$12</f>
        <v>123.74349276974415</v>
      </c>
      <c r="AR44" s="288">
        <f>AR43/'Consommations et côuts de prod'!$E$12</f>
        <v>0</v>
      </c>
      <c r="AS44" s="288">
        <f>AS43/'Consommations et côuts de prod'!$E$12</f>
        <v>0</v>
      </c>
      <c r="AT44" s="288">
        <f>AT43/'Consommations et côuts de prod'!$E$12</f>
        <v>0</v>
      </c>
      <c r="AU44" s="288">
        <f>AU43/'Consommations et côuts de prod'!$E$12</f>
        <v>0</v>
      </c>
      <c r="AV44" s="288">
        <f>AV43/'Consommations et côuts de prod'!$E$12</f>
        <v>0</v>
      </c>
      <c r="AW44" s="288">
        <f>AW43/'Consommations et côuts de prod'!$E$12</f>
        <v>0</v>
      </c>
      <c r="AX44" s="288">
        <f>AX43/'Consommations et côuts de prod'!$E$12</f>
        <v>0</v>
      </c>
      <c r="AY44" s="288">
        <f>AY43/'Consommations et côuts de prod'!$E$12</f>
        <v>0</v>
      </c>
      <c r="AZ44" s="288">
        <f>AZ43/'Consommations et côuts de prod'!$E$12</f>
        <v>0</v>
      </c>
      <c r="BA44" s="288">
        <f>BA43/'Consommations et côuts de prod'!$E$12</f>
        <v>0</v>
      </c>
      <c r="BB44" s="288">
        <f>BB43/'Consommations et côuts de prod'!$E$12</f>
        <v>0</v>
      </c>
      <c r="BC44" s="288">
        <f>BC43/'Consommations et côuts de prod'!$E$12</f>
        <v>0</v>
      </c>
      <c r="BD44" s="288">
        <f>BD43/'Consommations et côuts de prod'!$E$12</f>
        <v>0</v>
      </c>
      <c r="BE44" s="288">
        <f>BE43/'Consommations et côuts de prod'!$E$12</f>
        <v>0</v>
      </c>
      <c r="BF44" s="288">
        <f>BF43/'Consommations et côuts de prod'!$E$12</f>
        <v>0</v>
      </c>
      <c r="BG44" s="288">
        <f>BG43/'Consommations et côuts de prod'!$E$12</f>
        <v>0</v>
      </c>
      <c r="BH44" s="349">
        <f>BH43/'Consommations et côuts de prod'!$E$12</f>
        <v>0</v>
      </c>
      <c r="BI44" s="300">
        <f t="shared" ref="BI44:BI48" si="28">SUM(G44:BH44)</f>
        <v>16169.409159467243</v>
      </c>
      <c r="BJ44" s="300" t="s">
        <v>643</v>
      </c>
      <c r="BK44" s="299"/>
    </row>
    <row r="45" spans="1:67" s="169" customFormat="1" x14ac:dyDescent="0.2">
      <c r="A45" s="304" t="s">
        <v>637</v>
      </c>
      <c r="B45" s="169">
        <f>B44*'Consommations et côuts de prod'!$D$42</f>
        <v>0</v>
      </c>
      <c r="C45" s="169">
        <f>C44*'Consommations et côuts de prod'!$D$42</f>
        <v>0</v>
      </c>
      <c r="D45" s="169">
        <f>D44*'Consommations et côuts de prod'!$D$42</f>
        <v>0</v>
      </c>
      <c r="E45" s="169">
        <f>E44*'Consommations et côuts de prod'!$D$42</f>
        <v>0</v>
      </c>
      <c r="F45" s="169">
        <f>F44*'Consommations et côuts de prod'!$D$42</f>
        <v>0</v>
      </c>
      <c r="G45" s="169">
        <f>G44*'Consommations et côuts de prod'!$D$42</f>
        <v>0</v>
      </c>
      <c r="H45" s="169">
        <f>H44*'Consommations et côuts de prod'!$D$42</f>
        <v>0</v>
      </c>
      <c r="I45" s="169">
        <f>I44*'Consommations et côuts de prod'!$D$42</f>
        <v>0</v>
      </c>
      <c r="J45" s="169">
        <f>J44*'Consommations et côuts de prod'!$D$42</f>
        <v>0</v>
      </c>
      <c r="K45" s="169">
        <f>K44*'Consommations et côuts de prod'!$D$42</f>
        <v>0</v>
      </c>
      <c r="L45" s="169">
        <f>L44*'Consommations et côuts de prod'!$D$42</f>
        <v>0</v>
      </c>
      <c r="M45" s="169">
        <f>M44*'Consommations et côuts de prod'!$D$42</f>
        <v>0</v>
      </c>
      <c r="N45" s="169">
        <f>N44*'Consommations et côuts de prod'!$D$42</f>
        <v>0.3609909947368421</v>
      </c>
      <c r="O45" s="169">
        <f>O44*'Consommations et côuts de prod'!$D$42</f>
        <v>0.54318394192377484</v>
      </c>
      <c r="P45" s="169">
        <f>P44*'Consommations et côuts de prod'!$D$42</f>
        <v>0.36333509210526316</v>
      </c>
      <c r="Q45" s="169">
        <f>Q44*'Consommations et côuts de prod'!$D$42</f>
        <v>0.54695605263157887</v>
      </c>
      <c r="R45" s="169">
        <f>R44*'Consommations et côuts de prod'!$D$42</f>
        <v>1.2811393694331985</v>
      </c>
      <c r="S45" s="169">
        <f>S44*'Consommations et côuts de prod'!$D$42</f>
        <v>1.8377723368421055</v>
      </c>
      <c r="T45" s="169">
        <f>T44*'Consommations et côuts de prod'!$D$42</f>
        <v>2.9535626842105263</v>
      </c>
      <c r="U45" s="169">
        <f>U44*'Consommations et côuts de prod'!$D$42</f>
        <v>6.1211516498855838</v>
      </c>
      <c r="V45" s="169">
        <f>V44*'Consommations et côuts de prod'!$D$42</f>
        <v>8.9501899521531101</v>
      </c>
      <c r="W45" s="169">
        <f>W44*'Consommations et côuts de prod'!$D$42</f>
        <v>12.751889684210528</v>
      </c>
      <c r="X45" s="169">
        <f>X44*'Consommations et côuts de prod'!$D$42</f>
        <v>13.397688509210527</v>
      </c>
      <c r="Y45" s="169">
        <f>Y44*'Consommations et côuts de prod'!$D$42</f>
        <v>24.129398069252073</v>
      </c>
      <c r="Z45" s="169">
        <f>Z44*'Consommations et côuts de prod'!$D$42</f>
        <v>26.226542723684201</v>
      </c>
      <c r="AA45" s="169">
        <f>AA44*'Consommations et côuts de prod'!$D$42</f>
        <v>32.624319845201235</v>
      </c>
      <c r="AB45" s="169">
        <f>AB44*'Consommations et côuts de prod'!$D$42</f>
        <v>38.191206375</v>
      </c>
      <c r="AC45" s="169">
        <f>AC44*'Consommations et côuts de prod'!$D$42</f>
        <v>39.16651835372636</v>
      </c>
      <c r="AD45" s="169">
        <f>AD44*'Consommations et côuts de prod'!$D$42</f>
        <v>42.708954393770853</v>
      </c>
      <c r="AE45" s="169">
        <f>AE44*'Consommations et côuts de prod'!$D$42</f>
        <v>47.933259176863181</v>
      </c>
      <c r="AF45" s="169">
        <f>AF44*'Consommations et côuts de prod'!$D$42</f>
        <v>49.667686318131253</v>
      </c>
      <c r="AG45" s="169">
        <f>AG44*'Consommations et côuts de prod'!$D$42</f>
        <v>43.854727474972186</v>
      </c>
      <c r="AH45" s="169">
        <f>AH44*'Consommations et côuts de prod'!$D$42</f>
        <v>43.865239154616248</v>
      </c>
      <c r="AI45" s="169">
        <f>AI44*'Consommations et côuts de prod'!$D$42</f>
        <v>39.860289210233596</v>
      </c>
      <c r="AJ45" s="169">
        <f>AJ44*'Consommations et côuts de prod'!$D$42</f>
        <v>35.844827586206897</v>
      </c>
      <c r="AK45" s="169">
        <f>AK44*'Consommations et côuts de prod'!$D$42</f>
        <v>30.857035595105678</v>
      </c>
      <c r="AL45" s="169">
        <f>AL44*'Consommations et côuts de prod'!$D$42</f>
        <v>25.287947719688546</v>
      </c>
      <c r="AM45" s="169">
        <f>AM44*'Consommations et côuts de prod'!$D$42</f>
        <v>19.585361512791991</v>
      </c>
      <c r="AN45" s="169">
        <f>AN44*'Consommations et côuts de prod'!$D$42</f>
        <v>15.194632925472749</v>
      </c>
      <c r="AO45" s="169">
        <f>AO44*'Consommations et côuts de prod'!$D$42</f>
        <v>12.639243604004447</v>
      </c>
      <c r="AP45" s="169">
        <f>AP44*'Consommations et côuts de prod'!$D$42</f>
        <v>7.2530589543937705</v>
      </c>
      <c r="AQ45" s="169">
        <f>AQ44*'Consommations et côuts de prod'!$D$42</f>
        <v>4.8122469410456059</v>
      </c>
      <c r="AR45" s="169">
        <f>AR44*'Consommations et côuts de prod'!$D$42</f>
        <v>0</v>
      </c>
      <c r="AS45" s="169">
        <f>AS44*'Consommations et côuts de prod'!$D$42</f>
        <v>0</v>
      </c>
      <c r="AT45" s="169">
        <f>AT44*'Consommations et côuts de prod'!$D$42</f>
        <v>0</v>
      </c>
      <c r="AU45" s="169">
        <f>AU44*'Consommations et côuts de prod'!$D$42</f>
        <v>0</v>
      </c>
      <c r="AV45" s="169">
        <f>AV44*'Consommations et côuts de prod'!$D$42</f>
        <v>0</v>
      </c>
      <c r="AW45" s="169">
        <f>AW44*'Consommations et côuts de prod'!$D$42</f>
        <v>0</v>
      </c>
      <c r="AX45" s="169">
        <f>AX44*'Consommations et côuts de prod'!$D$42</f>
        <v>0</v>
      </c>
      <c r="AY45" s="169">
        <f>AY44*'Consommations et côuts de prod'!$D$42</f>
        <v>0</v>
      </c>
      <c r="AZ45" s="169">
        <f>AZ44*'Consommations et côuts de prod'!$D$42</f>
        <v>0</v>
      </c>
      <c r="BA45" s="169">
        <f>BA44*'Consommations et côuts de prod'!$D$42</f>
        <v>0</v>
      </c>
      <c r="BB45" s="169">
        <f>BB44*'Consommations et côuts de prod'!$D$42</f>
        <v>0</v>
      </c>
      <c r="BC45" s="169">
        <f>BC44*'Consommations et côuts de prod'!$D$42</f>
        <v>0</v>
      </c>
      <c r="BD45" s="169">
        <f>BD44*'Consommations et côuts de prod'!$D$42</f>
        <v>0</v>
      </c>
      <c r="BE45" s="169">
        <f>BE44*'Consommations et côuts de prod'!$D$42</f>
        <v>0</v>
      </c>
      <c r="BF45" s="169">
        <f>BF44*'Consommations et côuts de prod'!$D$42</f>
        <v>0</v>
      </c>
      <c r="BG45" s="169">
        <f>BG44*'Consommations et côuts de prod'!$D$42</f>
        <v>0</v>
      </c>
      <c r="BH45" s="350">
        <f>BH44*'Consommations et côuts de prod'!$D$42</f>
        <v>0</v>
      </c>
      <c r="BI45" s="299">
        <f t="shared" si="28"/>
        <v>628.81035620150396</v>
      </c>
      <c r="BJ45" s="299" t="s">
        <v>639</v>
      </c>
      <c r="BK45" s="300"/>
    </row>
    <row r="46" spans="1:67" s="280" customFormat="1" x14ac:dyDescent="0.2">
      <c r="A46" s="305" t="s">
        <v>641</v>
      </c>
      <c r="B46" s="285">
        <f t="shared" ref="B46:AG46" si="29">(1-B37)*B25</f>
        <v>0</v>
      </c>
      <c r="C46" s="285">
        <f t="shared" si="29"/>
        <v>0</v>
      </c>
      <c r="D46" s="285">
        <f t="shared" si="29"/>
        <v>0</v>
      </c>
      <c r="E46" s="285">
        <f t="shared" si="29"/>
        <v>0</v>
      </c>
      <c r="F46" s="285">
        <f t="shared" si="29"/>
        <v>0</v>
      </c>
      <c r="G46" s="285">
        <f t="shared" si="29"/>
        <v>0</v>
      </c>
      <c r="H46" s="285">
        <f t="shared" si="29"/>
        <v>0</v>
      </c>
      <c r="I46" s="285">
        <f t="shared" si="29"/>
        <v>0</v>
      </c>
      <c r="J46" s="285">
        <f t="shared" si="29"/>
        <v>0</v>
      </c>
      <c r="K46" s="285">
        <f t="shared" si="29"/>
        <v>0</v>
      </c>
      <c r="L46" s="285">
        <f t="shared" si="29"/>
        <v>0</v>
      </c>
      <c r="M46" s="285">
        <f t="shared" si="29"/>
        <v>0</v>
      </c>
      <c r="N46" s="285">
        <f t="shared" si="29"/>
        <v>7.6929196045263168</v>
      </c>
      <c r="O46" s="285">
        <f t="shared" si="29"/>
        <v>10.771139216842105</v>
      </c>
      <c r="P46" s="285">
        <f t="shared" si="29"/>
        <v>6.6667307707894752</v>
      </c>
      <c r="Q46" s="285">
        <f t="shared" si="29"/>
        <v>9.225938794736841</v>
      </c>
      <c r="R46" s="285">
        <f t="shared" si="29"/>
        <v>19.71271817690284</v>
      </c>
      <c r="S46" s="285">
        <f t="shared" si="29"/>
        <v>25.55595435031579</v>
      </c>
      <c r="T46" s="285">
        <f t="shared" si="29"/>
        <v>36.698069491578941</v>
      </c>
      <c r="U46" s="285">
        <f t="shared" si="29"/>
        <v>66.990462859359255</v>
      </c>
      <c r="V46" s="285">
        <f t="shared" si="29"/>
        <v>84.69718027751199</v>
      </c>
      <c r="W46" s="285">
        <f t="shared" si="29"/>
        <v>101.78874447157897</v>
      </c>
      <c r="X46" s="285">
        <f t="shared" si="29"/>
        <v>87.102720777078943</v>
      </c>
      <c r="Y46" s="285">
        <f t="shared" si="29"/>
        <v>121.13925777623272</v>
      </c>
      <c r="Z46" s="285">
        <f t="shared" si="29"/>
        <v>92.828265207631574</v>
      </c>
      <c r="AA46" s="285">
        <f t="shared" si="29"/>
        <v>67.158937521362262</v>
      </c>
      <c r="AB46" s="285">
        <f t="shared" si="29"/>
        <v>22.060426342499994</v>
      </c>
      <c r="AC46" s="285">
        <f t="shared" si="29"/>
        <v>0</v>
      </c>
      <c r="AD46" s="285">
        <f t="shared" si="29"/>
        <v>0</v>
      </c>
      <c r="AE46" s="285">
        <f t="shared" si="29"/>
        <v>0</v>
      </c>
      <c r="AF46" s="285">
        <f t="shared" si="29"/>
        <v>0</v>
      </c>
      <c r="AG46" s="285">
        <f t="shared" si="29"/>
        <v>0</v>
      </c>
      <c r="AH46" s="285">
        <f t="shared" ref="AH46:BH46" si="30">(1-AH37)*AH25</f>
        <v>0</v>
      </c>
      <c r="AI46" s="285">
        <f t="shared" si="30"/>
        <v>0</v>
      </c>
      <c r="AJ46" s="285">
        <f t="shared" si="30"/>
        <v>0</v>
      </c>
      <c r="AK46" s="285">
        <f t="shared" si="30"/>
        <v>0</v>
      </c>
      <c r="AL46" s="285">
        <f t="shared" si="30"/>
        <v>0</v>
      </c>
      <c r="AM46" s="285">
        <f t="shared" si="30"/>
        <v>0</v>
      </c>
      <c r="AN46" s="285">
        <f t="shared" si="30"/>
        <v>0</v>
      </c>
      <c r="AO46" s="285">
        <f t="shared" si="30"/>
        <v>0</v>
      </c>
      <c r="AP46" s="285">
        <f t="shared" si="30"/>
        <v>0</v>
      </c>
      <c r="AQ46" s="285">
        <f t="shared" si="30"/>
        <v>0</v>
      </c>
      <c r="AR46" s="285">
        <f t="shared" si="30"/>
        <v>0</v>
      </c>
      <c r="AS46" s="285">
        <f t="shared" si="30"/>
        <v>0</v>
      </c>
      <c r="AT46" s="285">
        <f t="shared" si="30"/>
        <v>0</v>
      </c>
      <c r="AU46" s="285">
        <f t="shared" si="30"/>
        <v>0</v>
      </c>
      <c r="AV46" s="285">
        <f t="shared" si="30"/>
        <v>0</v>
      </c>
      <c r="AW46" s="285">
        <f t="shared" si="30"/>
        <v>0</v>
      </c>
      <c r="AX46" s="285">
        <f t="shared" si="30"/>
        <v>0</v>
      </c>
      <c r="AY46" s="285">
        <f t="shared" si="30"/>
        <v>0</v>
      </c>
      <c r="AZ46" s="285">
        <f t="shared" si="30"/>
        <v>0</v>
      </c>
      <c r="BA46" s="285">
        <f t="shared" si="30"/>
        <v>0</v>
      </c>
      <c r="BB46" s="285">
        <f t="shared" si="30"/>
        <v>0</v>
      </c>
      <c r="BC46" s="285">
        <f t="shared" si="30"/>
        <v>0</v>
      </c>
      <c r="BD46" s="285">
        <f t="shared" si="30"/>
        <v>0</v>
      </c>
      <c r="BE46" s="285">
        <f t="shared" si="30"/>
        <v>0</v>
      </c>
      <c r="BF46" s="285">
        <f t="shared" si="30"/>
        <v>0</v>
      </c>
      <c r="BG46" s="285">
        <f t="shared" si="30"/>
        <v>0</v>
      </c>
      <c r="BH46" s="343">
        <f t="shared" si="30"/>
        <v>0</v>
      </c>
      <c r="BI46" s="243">
        <f t="shared" si="28"/>
        <v>760.08946563894813</v>
      </c>
      <c r="BJ46" s="243" t="s">
        <v>659</v>
      </c>
      <c r="BK46" s="243"/>
    </row>
    <row r="47" spans="1:67" s="280" customFormat="1" x14ac:dyDescent="0.2">
      <c r="A47" s="306" t="s">
        <v>535</v>
      </c>
      <c r="B47" s="287">
        <f>B46/'Consommations et côuts de prod'!$F$6</f>
        <v>0</v>
      </c>
      <c r="C47" s="287">
        <f>C46/'Consommations et côuts de prod'!$F$6</f>
        <v>0</v>
      </c>
      <c r="D47" s="287">
        <f>D46/'Consommations et côuts de prod'!$F$6</f>
        <v>0</v>
      </c>
      <c r="E47" s="287">
        <f>E46/'Consommations et côuts de prod'!$F$6</f>
        <v>0</v>
      </c>
      <c r="F47" s="287">
        <f>F46/'Consommations et côuts de prod'!$F$6</f>
        <v>0</v>
      </c>
      <c r="G47" s="287">
        <f>G46/'Consommations et côuts de prod'!$F$6</f>
        <v>0</v>
      </c>
      <c r="H47" s="287">
        <f>H46/'Consommations et côuts de prod'!$F$6</f>
        <v>0</v>
      </c>
      <c r="I47" s="287">
        <f>I46/'Consommations et côuts de prod'!$F$6</f>
        <v>0</v>
      </c>
      <c r="J47" s="287">
        <f>J46/'Consommations et côuts de prod'!$F$6</f>
        <v>0</v>
      </c>
      <c r="K47" s="287">
        <f>K46/'Consommations et côuts de prod'!$F$6</f>
        <v>0</v>
      </c>
      <c r="L47" s="287">
        <f>L46/'Consommations et côuts de prod'!$F$6</f>
        <v>0</v>
      </c>
      <c r="M47" s="287">
        <f>M46/'Consommations et côuts de prod'!$F$6</f>
        <v>0</v>
      </c>
      <c r="N47" s="287">
        <f>N46/'Consommations et côuts de prod'!$F$6</f>
        <v>7.3265900995488726</v>
      </c>
      <c r="O47" s="287">
        <f>O46/'Consommations et côuts de prod'!$F$6</f>
        <v>10.258227825563909</v>
      </c>
      <c r="P47" s="287">
        <f>P46/'Consommations et côuts de prod'!$F$6</f>
        <v>6.3492674007518808</v>
      </c>
      <c r="Q47" s="287">
        <f>Q46/'Consommations et côuts de prod'!$F$6</f>
        <v>8.7866083759398474</v>
      </c>
      <c r="R47" s="287">
        <f>R46/'Consommations et côuts de prod'!$F$6</f>
        <v>18.774017311336038</v>
      </c>
      <c r="S47" s="287">
        <f>S46/'Consommations et côuts de prod'!$F$6</f>
        <v>24.339004143157894</v>
      </c>
      <c r="T47" s="287">
        <f>T46/'Consommations et côuts de prod'!$F$6</f>
        <v>34.950542372932325</v>
      </c>
      <c r="U47" s="287">
        <f>U46/'Consommations et côuts de prod'!$F$6</f>
        <v>63.80044081843738</v>
      </c>
      <c r="V47" s="287">
        <f>V46/'Consommations et côuts de prod'!$F$6</f>
        <v>80.663981216678081</v>
      </c>
      <c r="W47" s="287">
        <f>W46/'Consommations et côuts de prod'!$F$6</f>
        <v>96.941661401503779</v>
      </c>
      <c r="X47" s="287">
        <f>X46/'Consommations et côuts de prod'!$F$6</f>
        <v>82.954972168646606</v>
      </c>
      <c r="Y47" s="287">
        <f>Y46/'Consommations et côuts de prod'!$F$6</f>
        <v>115.3707216916502</v>
      </c>
      <c r="Z47" s="287">
        <f>Z46/'Consommations et côuts de prod'!$F$6</f>
        <v>88.407871626315782</v>
      </c>
      <c r="AA47" s="287">
        <f>AA46/'Consommations et côuts de prod'!$F$6</f>
        <v>63.960892877487865</v>
      </c>
      <c r="AB47" s="287">
        <f>AB46/'Consommations et côuts de prod'!$F$6</f>
        <v>21.009929849999995</v>
      </c>
      <c r="AC47" s="287">
        <f>AC46/'Consommations et côuts de prod'!$F$6</f>
        <v>0</v>
      </c>
      <c r="AD47" s="287">
        <f>AD46/'Consommations et côuts de prod'!$F$6</f>
        <v>0</v>
      </c>
      <c r="AE47" s="287">
        <f>AE46/'Consommations et côuts de prod'!$F$6</f>
        <v>0</v>
      </c>
      <c r="AF47" s="287">
        <f>AF46/'Consommations et côuts de prod'!$F$6</f>
        <v>0</v>
      </c>
      <c r="AG47" s="287">
        <f>AG46/'Consommations et côuts de prod'!$F$6</f>
        <v>0</v>
      </c>
      <c r="AH47" s="287">
        <f>AH46/'Consommations et côuts de prod'!$F$6</f>
        <v>0</v>
      </c>
      <c r="AI47" s="287">
        <f>AI46/'Consommations et côuts de prod'!$F$6</f>
        <v>0</v>
      </c>
      <c r="AJ47" s="287">
        <f>AJ46/'Consommations et côuts de prod'!$F$6</f>
        <v>0</v>
      </c>
      <c r="AK47" s="287">
        <f>AK46/'Consommations et côuts de prod'!$F$6</f>
        <v>0</v>
      </c>
      <c r="AL47" s="287">
        <f>AL46/'Consommations et côuts de prod'!$F$6</f>
        <v>0</v>
      </c>
      <c r="AM47" s="287">
        <f>AM46/'Consommations et côuts de prod'!$F$6</f>
        <v>0</v>
      </c>
      <c r="AN47" s="287">
        <f>AN46/'Consommations et côuts de prod'!$F$6</f>
        <v>0</v>
      </c>
      <c r="AO47" s="287">
        <f>AO46/'Consommations et côuts de prod'!$F$6</f>
        <v>0</v>
      </c>
      <c r="AP47" s="287">
        <f>AP46/'Consommations et côuts de prod'!$F$6</f>
        <v>0</v>
      </c>
      <c r="AQ47" s="287">
        <f>AQ46/'Consommations et côuts de prod'!$F$6</f>
        <v>0</v>
      </c>
      <c r="AR47" s="287">
        <f>AR46/'Consommations et côuts de prod'!$F$6</f>
        <v>0</v>
      </c>
      <c r="AS47" s="287">
        <f>AS46/'Consommations et côuts de prod'!$F$6</f>
        <v>0</v>
      </c>
      <c r="AT47" s="287">
        <f>AT46/'Consommations et côuts de prod'!$F$6</f>
        <v>0</v>
      </c>
      <c r="AU47" s="287">
        <f>AU46/'Consommations et côuts de prod'!$F$6</f>
        <v>0</v>
      </c>
      <c r="AV47" s="287">
        <f>AV46/'Consommations et côuts de prod'!$F$6</f>
        <v>0</v>
      </c>
      <c r="AW47" s="287">
        <f>AW46/'Consommations et côuts de prod'!$F$6</f>
        <v>0</v>
      </c>
      <c r="AX47" s="287">
        <f>AX46/'Consommations et côuts de prod'!$F$6</f>
        <v>0</v>
      </c>
      <c r="AY47" s="287">
        <f>AY46/'Consommations et côuts de prod'!$F$6</f>
        <v>0</v>
      </c>
      <c r="AZ47" s="287">
        <f>AZ46/'Consommations et côuts de prod'!$F$6</f>
        <v>0</v>
      </c>
      <c r="BA47" s="287">
        <f>BA46/'Consommations et côuts de prod'!$F$6</f>
        <v>0</v>
      </c>
      <c r="BB47" s="287">
        <f>BB46/'Consommations et côuts de prod'!$F$6</f>
        <v>0</v>
      </c>
      <c r="BC47" s="287">
        <f>BC46/'Consommations et côuts de prod'!$F$6</f>
        <v>0</v>
      </c>
      <c r="BD47" s="287">
        <f>BD46/'Consommations et côuts de prod'!$F$6</f>
        <v>0</v>
      </c>
      <c r="BE47" s="287">
        <f>BE46/'Consommations et côuts de prod'!$F$6</f>
        <v>0</v>
      </c>
      <c r="BF47" s="287">
        <f>BF46/'Consommations et côuts de prod'!$F$6</f>
        <v>0</v>
      </c>
      <c r="BG47" s="287">
        <f>BG46/'Consommations et côuts de prod'!$F$6</f>
        <v>0</v>
      </c>
      <c r="BH47" s="347">
        <f>BH46/'Consommations et côuts de prod'!$F$6</f>
        <v>0</v>
      </c>
      <c r="BI47" s="301">
        <f t="shared" si="28"/>
        <v>723.89472917995045</v>
      </c>
      <c r="BJ47" s="301" t="s">
        <v>644</v>
      </c>
      <c r="BK47" s="243"/>
    </row>
    <row r="48" spans="1:67" s="287" customFormat="1" ht="13.5" thickBot="1" x14ac:dyDescent="0.25">
      <c r="A48" s="307" t="s">
        <v>638</v>
      </c>
      <c r="B48" s="290">
        <f>B47*'Consommations et côuts de prod'!$H$6/100</f>
        <v>0</v>
      </c>
      <c r="C48" s="290">
        <f>C47*'Consommations et côuts de prod'!$H$6/100</f>
        <v>0</v>
      </c>
      <c r="D48" s="290">
        <f>D47*'Consommations et côuts de prod'!$H$6/100</f>
        <v>0</v>
      </c>
      <c r="E48" s="290">
        <f>E47*'Consommations et côuts de prod'!$H$6/100</f>
        <v>0</v>
      </c>
      <c r="F48" s="290">
        <f>F47*'Consommations et côuts de prod'!$H$6/100</f>
        <v>0</v>
      </c>
      <c r="G48" s="290">
        <f>G47*'Consommations et côuts de prod'!$H$6/100</f>
        <v>0</v>
      </c>
      <c r="H48" s="290">
        <f>H47*'Consommations et côuts de prod'!$H$6/100</f>
        <v>0</v>
      </c>
      <c r="I48" s="290">
        <f>I47*'Consommations et côuts de prod'!$H$6/100</f>
        <v>0</v>
      </c>
      <c r="J48" s="290">
        <f>J47*'Consommations et côuts de prod'!$H$6/100</f>
        <v>0</v>
      </c>
      <c r="K48" s="290">
        <f>K47*'Consommations et côuts de prod'!$H$6/100</f>
        <v>0</v>
      </c>
      <c r="L48" s="290">
        <f>L47*'Consommations et côuts de prod'!$H$6/100</f>
        <v>0</v>
      </c>
      <c r="M48" s="290">
        <f>M47*'Consommations et côuts de prod'!$H$6/100</f>
        <v>0</v>
      </c>
      <c r="N48" s="290">
        <f>N47*'Consommations et côuts de prod'!$H$6/100</f>
        <v>0.46157517627157896</v>
      </c>
      <c r="O48" s="290">
        <f>O47*'Consommations et côuts de prod'!$H$6/100</f>
        <v>0.64626835301052621</v>
      </c>
      <c r="P48" s="290">
        <f>P47*'Consommations et côuts de prod'!$H$6/100</f>
        <v>0.40000384624736846</v>
      </c>
      <c r="Q48" s="290">
        <f>Q47*'Consommations et côuts de prod'!$H$6/100</f>
        <v>0.55355632768421037</v>
      </c>
      <c r="R48" s="290">
        <f>R47*'Consommations et côuts de prod'!$H$6/100</f>
        <v>1.1827630906141704</v>
      </c>
      <c r="S48" s="290">
        <f>S47*'Consommations et côuts de prod'!$H$6/100</f>
        <v>1.5333572610189472</v>
      </c>
      <c r="T48" s="290">
        <f>T47*'Consommations et côuts de prod'!$H$6/100</f>
        <v>2.2018841694947362</v>
      </c>
      <c r="U48" s="290">
        <f>U47*'Consommations et côuts de prod'!$H$6/100</f>
        <v>4.0194277715615554</v>
      </c>
      <c r="V48" s="290">
        <f>V47*'Consommations et côuts de prod'!$H$6/100</f>
        <v>5.0818308166507187</v>
      </c>
      <c r="W48" s="290">
        <f>W47*'Consommations et côuts de prod'!$H$6/100</f>
        <v>6.107324668294738</v>
      </c>
      <c r="X48" s="290">
        <f>X47*'Consommations et côuts de prod'!$H$6/100</f>
        <v>5.2261632466247363</v>
      </c>
      <c r="Y48" s="290">
        <f>Y47*'Consommations et côuts de prod'!$H$6/100</f>
        <v>7.2683554665739623</v>
      </c>
      <c r="Z48" s="290">
        <f>Z47*'Consommations et côuts de prod'!$H$6/100</f>
        <v>5.5696959124578935</v>
      </c>
      <c r="AA48" s="290">
        <f>AA47*'Consommations et côuts de prod'!$H$6/100</f>
        <v>4.0295362512817352</v>
      </c>
      <c r="AB48" s="290">
        <f>AB47*'Consommations et côuts de prod'!$H$6/100</f>
        <v>1.3236255805499997</v>
      </c>
      <c r="AC48" s="290">
        <f>AC47*'Consommations et côuts de prod'!$H$6/100</f>
        <v>0</v>
      </c>
      <c r="AD48" s="290">
        <f>AD47*'Consommations et côuts de prod'!$H$6/100</f>
        <v>0</v>
      </c>
      <c r="AE48" s="290">
        <f>AE47*'Consommations et côuts de prod'!$H$6/100</f>
        <v>0</v>
      </c>
      <c r="AF48" s="290">
        <f>AF47*'Consommations et côuts de prod'!$H$6/100</f>
        <v>0</v>
      </c>
      <c r="AG48" s="290">
        <f>AG47*'Consommations et côuts de prod'!$H$6/100</f>
        <v>0</v>
      </c>
      <c r="AH48" s="290">
        <f>AH47*'Consommations et côuts de prod'!$H$6/100</f>
        <v>0</v>
      </c>
      <c r="AI48" s="290">
        <f>AI47*'Consommations et côuts de prod'!$H$6/100</f>
        <v>0</v>
      </c>
      <c r="AJ48" s="290">
        <f>AJ47*'Consommations et côuts de prod'!$H$6/100</f>
        <v>0</v>
      </c>
      <c r="AK48" s="290">
        <f>AK47*'Consommations et côuts de prod'!$H$6/100</f>
        <v>0</v>
      </c>
      <c r="AL48" s="290">
        <f>AL47*'Consommations et côuts de prod'!$H$6/100</f>
        <v>0</v>
      </c>
      <c r="AM48" s="290">
        <f>AM47*'Consommations et côuts de prod'!$H$6/100</f>
        <v>0</v>
      </c>
      <c r="AN48" s="290">
        <f>AN47*'Consommations et côuts de prod'!$H$6/100</f>
        <v>0</v>
      </c>
      <c r="AO48" s="290">
        <f>AO47*'Consommations et côuts de prod'!$H$6/100</f>
        <v>0</v>
      </c>
      <c r="AP48" s="290">
        <f>AP47*'Consommations et côuts de prod'!$H$6/100</f>
        <v>0</v>
      </c>
      <c r="AQ48" s="290">
        <f>AQ47*'Consommations et côuts de prod'!$H$6/100</f>
        <v>0</v>
      </c>
      <c r="AR48" s="290">
        <f>AR47*'Consommations et côuts de prod'!$H$6/100</f>
        <v>0</v>
      </c>
      <c r="AS48" s="290">
        <f>AS47*'Consommations et côuts de prod'!$H$6/100</f>
        <v>0</v>
      </c>
      <c r="AT48" s="290">
        <f>AT47*'Consommations et côuts de prod'!$H$6/100</f>
        <v>0</v>
      </c>
      <c r="AU48" s="290">
        <f>AU47*'Consommations et côuts de prod'!$H$6/100</f>
        <v>0</v>
      </c>
      <c r="AV48" s="290">
        <f>AV47*'Consommations et côuts de prod'!$H$6/100</f>
        <v>0</v>
      </c>
      <c r="AW48" s="290">
        <f>AW47*'Consommations et côuts de prod'!$H$6/100</f>
        <v>0</v>
      </c>
      <c r="AX48" s="290">
        <f>AX47*'Consommations et côuts de prod'!$H$6/100</f>
        <v>0</v>
      </c>
      <c r="AY48" s="290">
        <f>AY47*'Consommations et côuts de prod'!$H$6/100</f>
        <v>0</v>
      </c>
      <c r="AZ48" s="290">
        <f>AZ47*'Consommations et côuts de prod'!$H$6/100</f>
        <v>0</v>
      </c>
      <c r="BA48" s="290">
        <f>BA47*'Consommations et côuts de prod'!$H$6/100</f>
        <v>0</v>
      </c>
      <c r="BB48" s="290">
        <f>BB47*'Consommations et côuts de prod'!$H$6/100</f>
        <v>0</v>
      </c>
      <c r="BC48" s="290">
        <f>BC47*'Consommations et côuts de prod'!$H$6/100</f>
        <v>0</v>
      </c>
      <c r="BD48" s="290">
        <f>BD47*'Consommations et côuts de prod'!$H$6/100</f>
        <v>0</v>
      </c>
      <c r="BE48" s="290">
        <f>BE47*'Consommations et côuts de prod'!$H$6/100</f>
        <v>0</v>
      </c>
      <c r="BF48" s="290">
        <f>BF47*'Consommations et côuts de prod'!$H$6/100</f>
        <v>0</v>
      </c>
      <c r="BG48" s="290">
        <f>BG47*'Consommations et côuts de prod'!$H$6/100</f>
        <v>0</v>
      </c>
      <c r="BH48" s="348">
        <f>BH47*'Consommations et côuts de prod'!$H$6/100</f>
        <v>0</v>
      </c>
      <c r="BI48" s="243">
        <f t="shared" si="28"/>
        <v>45.605367938336876</v>
      </c>
      <c r="BJ48" s="243" t="s">
        <v>639</v>
      </c>
      <c r="BK48" s="301"/>
    </row>
    <row r="51" spans="4:10" s="190" customFormat="1" x14ac:dyDescent="0.2"/>
    <row r="52" spans="4:10" s="190" customFormat="1" x14ac:dyDescent="0.2"/>
    <row r="53" spans="4:10" s="190" customFormat="1" x14ac:dyDescent="0.2"/>
    <row r="54" spans="4:10" s="190" customFormat="1" x14ac:dyDescent="0.2"/>
    <row r="55" spans="4:10" s="190" customFormat="1" x14ac:dyDescent="0.2"/>
    <row r="56" spans="4:10" s="190" customFormat="1" x14ac:dyDescent="0.2">
      <c r="J56" s="282"/>
    </row>
    <row r="57" spans="4:10" s="190" customFormat="1" x14ac:dyDescent="0.2"/>
    <row r="58" spans="4:10" s="190" customFormat="1" x14ac:dyDescent="0.2"/>
    <row r="59" spans="4:10" s="190" customFormat="1" x14ac:dyDescent="0.2"/>
    <row r="60" spans="4:10" s="190" customFormat="1" x14ac:dyDescent="0.2"/>
    <row r="61" spans="4:10" s="190" customFormat="1" x14ac:dyDescent="0.2"/>
    <row r="62" spans="4:10" s="190" customFormat="1" x14ac:dyDescent="0.2"/>
    <row r="63" spans="4:10" s="190" customFormat="1" x14ac:dyDescent="0.2"/>
    <row r="64" spans="4:10" s="70" customFormat="1" x14ac:dyDescent="0.2">
      <c r="D64" s="70" t="s">
        <v>544</v>
      </c>
    </row>
    <row r="65" spans="2:19" s="70" customFormat="1" x14ac:dyDescent="0.2">
      <c r="D65" s="70" t="s">
        <v>546</v>
      </c>
    </row>
    <row r="66" spans="2:19" s="70" customFormat="1" x14ac:dyDescent="0.2">
      <c r="D66" s="70" t="s">
        <v>545</v>
      </c>
    </row>
    <row r="67" spans="2:19" s="70" customFormat="1" x14ac:dyDescent="0.2">
      <c r="D67" s="70" t="s">
        <v>547</v>
      </c>
      <c r="G67" s="182">
        <f>chargem</f>
        <v>1</v>
      </c>
      <c r="H67" s="70" t="s">
        <v>549</v>
      </c>
    </row>
    <row r="68" spans="2:19" s="70" customFormat="1" x14ac:dyDescent="0.2">
      <c r="D68" s="70" t="s">
        <v>528</v>
      </c>
      <c r="G68" s="182">
        <f>nrjch</f>
        <v>113.274</v>
      </c>
      <c r="H68" s="70" t="s">
        <v>548</v>
      </c>
    </row>
    <row r="69" spans="2:19" s="70" customFormat="1" x14ac:dyDescent="0.2">
      <c r="F69" s="70" t="s">
        <v>550</v>
      </c>
      <c r="G69" s="183">
        <f>G67*G68/24</f>
        <v>4.7197500000000003</v>
      </c>
      <c r="H69" s="70" t="s">
        <v>551</v>
      </c>
    </row>
    <row r="70" spans="2:19" s="70" customFormat="1" x14ac:dyDescent="0.2"/>
    <row r="71" spans="2:19" s="70" customFormat="1" x14ac:dyDescent="0.2"/>
    <row r="73" spans="2:19" x14ac:dyDescent="0.2">
      <c r="B73" s="189">
        <v>100</v>
      </c>
      <c r="C73" s="30">
        <f>TB</f>
        <v>-15</v>
      </c>
      <c r="E73" t="s">
        <v>515</v>
      </c>
      <c r="F73" s="115">
        <v>1</v>
      </c>
      <c r="G73" s="115">
        <f>F73</f>
        <v>1</v>
      </c>
      <c r="H73" s="115">
        <v>0.75</v>
      </c>
      <c r="I73" s="115">
        <f>H73</f>
        <v>0.75</v>
      </c>
      <c r="J73" s="115">
        <v>0.5</v>
      </c>
      <c r="K73" s="115">
        <f>J73</f>
        <v>0.5</v>
      </c>
      <c r="L73" s="115">
        <v>0.35</v>
      </c>
      <c r="M73" s="115">
        <f>L73</f>
        <v>0.35</v>
      </c>
      <c r="N73" s="115">
        <v>0.25</v>
      </c>
      <c r="O73" s="115">
        <f>N73</f>
        <v>0.25</v>
      </c>
      <c r="P73">
        <v>0</v>
      </c>
      <c r="R73" s="115"/>
      <c r="S73" s="115"/>
    </row>
    <row r="74" spans="2:19" x14ac:dyDescent="0.2">
      <c r="B74" s="188" t="s">
        <v>597</v>
      </c>
      <c r="C74" s="30">
        <f>TI-0.85*(TI-TB)</f>
        <v>-9.75</v>
      </c>
      <c r="E74" t="s">
        <v>415</v>
      </c>
      <c r="F74">
        <v>0</v>
      </c>
      <c r="G74">
        <f>BF90</f>
        <v>0.5</v>
      </c>
      <c r="H74">
        <f>G74</f>
        <v>0.5</v>
      </c>
      <c r="I74">
        <f>BF91+H74</f>
        <v>26.35</v>
      </c>
      <c r="J74">
        <f>I74</f>
        <v>26.35</v>
      </c>
      <c r="K74">
        <f>BF92+J74</f>
        <v>118.65</v>
      </c>
      <c r="L74">
        <f>K74</f>
        <v>118.65</v>
      </c>
      <c r="M74">
        <f>BF93+L74</f>
        <v>180.9</v>
      </c>
      <c r="N74">
        <f>M74</f>
        <v>180.9</v>
      </c>
      <c r="O74">
        <f>BF94+M74</f>
        <v>230.91250000000002</v>
      </c>
      <c r="P74">
        <v>239.65</v>
      </c>
    </row>
    <row r="75" spans="2:19" x14ac:dyDescent="0.2">
      <c r="B75" s="188" t="s">
        <v>598</v>
      </c>
      <c r="C75" s="30">
        <f>TI-0.6*(TI-TB)</f>
        <v>-1</v>
      </c>
      <c r="F75">
        <f>G74</f>
        <v>0.5</v>
      </c>
    </row>
    <row r="76" spans="2:19" x14ac:dyDescent="0.2">
      <c r="B76" s="188" t="s">
        <v>599</v>
      </c>
      <c r="C76" s="30">
        <f>TI-0.4*(TI-TB)</f>
        <v>6</v>
      </c>
      <c r="F76">
        <f>BF91</f>
        <v>25.85</v>
      </c>
    </row>
    <row r="77" spans="2:19" x14ac:dyDescent="0.2">
      <c r="B77" s="188" t="s">
        <v>600</v>
      </c>
      <c r="C77" s="30">
        <f>TI-0.3*(TI-TB)</f>
        <v>9.5</v>
      </c>
      <c r="F77">
        <f>BF93</f>
        <v>62.25</v>
      </c>
    </row>
    <row r="78" spans="2:19" x14ac:dyDescent="0.2">
      <c r="B78" s="188" t="s">
        <v>601</v>
      </c>
      <c r="C78" s="30">
        <f>TI-0.2*(TI-TB)</f>
        <v>13</v>
      </c>
      <c r="F78">
        <f>BF94</f>
        <v>50.012500000000003</v>
      </c>
    </row>
    <row r="80" spans="2:19" x14ac:dyDescent="0.2">
      <c r="D80" t="s">
        <v>415</v>
      </c>
      <c r="E80">
        <v>0</v>
      </c>
      <c r="F80">
        <f>S74</f>
        <v>0</v>
      </c>
    </row>
    <row r="82" spans="1:58" x14ac:dyDescent="0.2">
      <c r="B82">
        <v>-25</v>
      </c>
      <c r="C82">
        <v>-24</v>
      </c>
      <c r="D82">
        <v>-23</v>
      </c>
      <c r="E82">
        <v>-22</v>
      </c>
      <c r="F82">
        <v>-21</v>
      </c>
      <c r="G82">
        <v>-20</v>
      </c>
      <c r="H82">
        <v>-19</v>
      </c>
      <c r="I82">
        <v>-18</v>
      </c>
      <c r="J82">
        <v>-17</v>
      </c>
      <c r="K82">
        <v>-16</v>
      </c>
      <c r="L82">
        <v>-15</v>
      </c>
      <c r="M82">
        <v>-14</v>
      </c>
      <c r="N82">
        <v>-13</v>
      </c>
      <c r="O82">
        <v>-12</v>
      </c>
      <c r="P82">
        <v>-11</v>
      </c>
      <c r="Q82">
        <v>-10</v>
      </c>
      <c r="R82">
        <v>-9</v>
      </c>
      <c r="S82">
        <v>-8</v>
      </c>
      <c r="T82">
        <v>-7</v>
      </c>
      <c r="U82">
        <v>-6</v>
      </c>
      <c r="V82">
        <v>-5</v>
      </c>
      <c r="W82">
        <v>-4</v>
      </c>
      <c r="X82">
        <v>-3</v>
      </c>
      <c r="Y82">
        <v>-2</v>
      </c>
      <c r="Z82">
        <v>-1</v>
      </c>
      <c r="AA82">
        <v>0</v>
      </c>
      <c r="AB82">
        <v>1</v>
      </c>
      <c r="AC82">
        <v>2</v>
      </c>
      <c r="AD82">
        <v>3</v>
      </c>
      <c r="AE82">
        <v>4</v>
      </c>
      <c r="AF82">
        <v>5</v>
      </c>
      <c r="AG82">
        <v>6</v>
      </c>
      <c r="AH82">
        <v>7</v>
      </c>
      <c r="AI82">
        <v>8</v>
      </c>
      <c r="AJ82">
        <v>9</v>
      </c>
      <c r="AK82">
        <v>10</v>
      </c>
      <c r="AL82">
        <v>11</v>
      </c>
      <c r="AM82">
        <v>12</v>
      </c>
      <c r="AN82">
        <v>13</v>
      </c>
      <c r="AO82">
        <v>14</v>
      </c>
      <c r="AP82">
        <v>15</v>
      </c>
      <c r="AQ82">
        <v>16</v>
      </c>
      <c r="AR82">
        <v>17</v>
      </c>
      <c r="AS82">
        <v>18</v>
      </c>
      <c r="AT82">
        <v>19</v>
      </c>
      <c r="AU82">
        <v>20</v>
      </c>
      <c r="AV82">
        <v>21</v>
      </c>
      <c r="AW82">
        <v>22</v>
      </c>
      <c r="AX82">
        <v>23</v>
      </c>
      <c r="AY82">
        <v>24</v>
      </c>
      <c r="AZ82">
        <v>25</v>
      </c>
      <c r="BA82">
        <v>26</v>
      </c>
      <c r="BB82">
        <v>27</v>
      </c>
      <c r="BC82">
        <v>28</v>
      </c>
      <c r="BD82">
        <v>29</v>
      </c>
      <c r="BE82">
        <v>30</v>
      </c>
    </row>
    <row r="83" spans="1:58" x14ac:dyDescent="0.2">
      <c r="A83">
        <v>100</v>
      </c>
      <c r="B83">
        <f t="shared" ref="B83:AG83" si="31">IF(OR(B82&lt;$C$73,B82&gt;$C$74),0,1)</f>
        <v>0</v>
      </c>
      <c r="C83">
        <f t="shared" si="31"/>
        <v>0</v>
      </c>
      <c r="D83">
        <f t="shared" si="31"/>
        <v>0</v>
      </c>
      <c r="E83">
        <f t="shared" si="31"/>
        <v>0</v>
      </c>
      <c r="F83">
        <f t="shared" si="31"/>
        <v>0</v>
      </c>
      <c r="G83">
        <f t="shared" si="31"/>
        <v>0</v>
      </c>
      <c r="H83">
        <f t="shared" si="31"/>
        <v>0</v>
      </c>
      <c r="I83">
        <f t="shared" si="31"/>
        <v>0</v>
      </c>
      <c r="J83">
        <f t="shared" si="31"/>
        <v>0</v>
      </c>
      <c r="K83">
        <f t="shared" si="31"/>
        <v>0</v>
      </c>
      <c r="L83">
        <f t="shared" si="31"/>
        <v>1</v>
      </c>
      <c r="M83">
        <f t="shared" si="31"/>
        <v>1</v>
      </c>
      <c r="N83">
        <f t="shared" si="31"/>
        <v>1</v>
      </c>
      <c r="O83">
        <f t="shared" si="31"/>
        <v>1</v>
      </c>
      <c r="P83">
        <f t="shared" si="31"/>
        <v>1</v>
      </c>
      <c r="Q83">
        <f t="shared" si="31"/>
        <v>1</v>
      </c>
      <c r="R83">
        <f t="shared" si="31"/>
        <v>0</v>
      </c>
      <c r="S83">
        <f t="shared" si="31"/>
        <v>0</v>
      </c>
      <c r="T83">
        <f t="shared" si="31"/>
        <v>0</v>
      </c>
      <c r="U83">
        <f t="shared" si="31"/>
        <v>0</v>
      </c>
      <c r="V83">
        <f t="shared" si="31"/>
        <v>0</v>
      </c>
      <c r="W83">
        <f t="shared" si="31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ref="AH83:BE83" si="32">IF(OR(AH82&lt;$C$73,AH82&gt;$C$74),0,1)</f>
        <v>0</v>
      </c>
      <c r="AI83">
        <f t="shared" si="32"/>
        <v>0</v>
      </c>
      <c r="AJ83">
        <f t="shared" si="32"/>
        <v>0</v>
      </c>
      <c r="AK83">
        <f t="shared" si="32"/>
        <v>0</v>
      </c>
      <c r="AL83">
        <f t="shared" si="32"/>
        <v>0</v>
      </c>
      <c r="AM83">
        <f t="shared" si="32"/>
        <v>0</v>
      </c>
      <c r="AN83">
        <f t="shared" si="32"/>
        <v>0</v>
      </c>
      <c r="AO83">
        <f t="shared" si="32"/>
        <v>0</v>
      </c>
      <c r="AP83">
        <f t="shared" si="32"/>
        <v>0</v>
      </c>
      <c r="AQ83">
        <f t="shared" si="32"/>
        <v>0</v>
      </c>
      <c r="AR83">
        <f t="shared" si="32"/>
        <v>0</v>
      </c>
      <c r="AS83">
        <f t="shared" si="32"/>
        <v>0</v>
      </c>
      <c r="AT83">
        <f t="shared" si="32"/>
        <v>0</v>
      </c>
      <c r="AU83">
        <f t="shared" si="32"/>
        <v>0</v>
      </c>
      <c r="AV83">
        <f t="shared" si="32"/>
        <v>0</v>
      </c>
      <c r="AW83">
        <f t="shared" si="32"/>
        <v>0</v>
      </c>
      <c r="AX83">
        <f t="shared" si="32"/>
        <v>0</v>
      </c>
      <c r="AY83">
        <f t="shared" si="32"/>
        <v>0</v>
      </c>
      <c r="AZ83">
        <f t="shared" si="32"/>
        <v>0</v>
      </c>
      <c r="BA83">
        <f t="shared" si="32"/>
        <v>0</v>
      </c>
      <c r="BB83">
        <f t="shared" si="32"/>
        <v>0</v>
      </c>
      <c r="BC83">
        <f t="shared" si="32"/>
        <v>0</v>
      </c>
      <c r="BD83">
        <f t="shared" si="32"/>
        <v>0</v>
      </c>
      <c r="BE83">
        <f t="shared" si="32"/>
        <v>0</v>
      </c>
    </row>
    <row r="84" spans="1:58" x14ac:dyDescent="0.2">
      <c r="A84">
        <v>75</v>
      </c>
      <c r="B84">
        <f t="shared" ref="B84:AG84" si="33">IF(OR(B82&lt;$C$74,B82&gt;$C$75),0,1)</f>
        <v>0</v>
      </c>
      <c r="C84">
        <f t="shared" si="33"/>
        <v>0</v>
      </c>
      <c r="D84">
        <f t="shared" si="33"/>
        <v>0</v>
      </c>
      <c r="E84">
        <f t="shared" si="33"/>
        <v>0</v>
      </c>
      <c r="F84">
        <f t="shared" si="33"/>
        <v>0</v>
      </c>
      <c r="G84">
        <f t="shared" si="33"/>
        <v>0</v>
      </c>
      <c r="H84">
        <f t="shared" si="33"/>
        <v>0</v>
      </c>
      <c r="I84">
        <f t="shared" si="33"/>
        <v>0</v>
      </c>
      <c r="J84">
        <f t="shared" si="33"/>
        <v>0</v>
      </c>
      <c r="K84">
        <f t="shared" si="33"/>
        <v>0</v>
      </c>
      <c r="L84">
        <f t="shared" si="33"/>
        <v>0</v>
      </c>
      <c r="M84">
        <f t="shared" si="33"/>
        <v>0</v>
      </c>
      <c r="N84">
        <f t="shared" si="33"/>
        <v>0</v>
      </c>
      <c r="O84">
        <f t="shared" si="33"/>
        <v>0</v>
      </c>
      <c r="P84">
        <f t="shared" si="33"/>
        <v>0</v>
      </c>
      <c r="Q84">
        <f t="shared" si="33"/>
        <v>0</v>
      </c>
      <c r="R84">
        <f t="shared" si="33"/>
        <v>1</v>
      </c>
      <c r="S84">
        <f t="shared" si="33"/>
        <v>1</v>
      </c>
      <c r="T84">
        <f t="shared" si="33"/>
        <v>1</v>
      </c>
      <c r="U84">
        <f t="shared" si="33"/>
        <v>1</v>
      </c>
      <c r="V84">
        <f t="shared" si="33"/>
        <v>1</v>
      </c>
      <c r="W84">
        <f t="shared" si="33"/>
        <v>1</v>
      </c>
      <c r="X84">
        <f t="shared" si="33"/>
        <v>1</v>
      </c>
      <c r="Y84">
        <f t="shared" si="33"/>
        <v>1</v>
      </c>
      <c r="Z84">
        <f t="shared" si="33"/>
        <v>1</v>
      </c>
      <c r="AA84">
        <f t="shared" si="33"/>
        <v>0</v>
      </c>
      <c r="AB84">
        <f t="shared" si="33"/>
        <v>0</v>
      </c>
      <c r="AC84">
        <f t="shared" si="33"/>
        <v>0</v>
      </c>
      <c r="AD84">
        <f t="shared" si="33"/>
        <v>0</v>
      </c>
      <c r="AE84">
        <f t="shared" si="33"/>
        <v>0</v>
      </c>
      <c r="AF84">
        <f t="shared" si="33"/>
        <v>0</v>
      </c>
      <c r="AG84">
        <f t="shared" si="33"/>
        <v>0</v>
      </c>
      <c r="AH84">
        <f t="shared" ref="AH84:BE84" si="34">IF(OR(AH82&lt;$C$74,AH82&gt;$C$75),0,1)</f>
        <v>0</v>
      </c>
      <c r="AI84">
        <f t="shared" si="34"/>
        <v>0</v>
      </c>
      <c r="AJ84">
        <f t="shared" si="34"/>
        <v>0</v>
      </c>
      <c r="AK84">
        <f t="shared" si="34"/>
        <v>0</v>
      </c>
      <c r="AL84">
        <f t="shared" si="34"/>
        <v>0</v>
      </c>
      <c r="AM84">
        <f t="shared" si="34"/>
        <v>0</v>
      </c>
      <c r="AN84">
        <f t="shared" si="34"/>
        <v>0</v>
      </c>
      <c r="AO84">
        <f t="shared" si="34"/>
        <v>0</v>
      </c>
      <c r="AP84">
        <f t="shared" si="34"/>
        <v>0</v>
      </c>
      <c r="AQ84">
        <f t="shared" si="34"/>
        <v>0</v>
      </c>
      <c r="AR84">
        <f t="shared" si="34"/>
        <v>0</v>
      </c>
      <c r="AS84">
        <f t="shared" si="34"/>
        <v>0</v>
      </c>
      <c r="AT84">
        <f t="shared" si="34"/>
        <v>0</v>
      </c>
      <c r="AU84">
        <f t="shared" si="34"/>
        <v>0</v>
      </c>
      <c r="AV84">
        <f t="shared" si="34"/>
        <v>0</v>
      </c>
      <c r="AW84">
        <f t="shared" si="34"/>
        <v>0</v>
      </c>
      <c r="AX84">
        <f t="shared" si="34"/>
        <v>0</v>
      </c>
      <c r="AY84">
        <f t="shared" si="34"/>
        <v>0</v>
      </c>
      <c r="AZ84">
        <f t="shared" si="34"/>
        <v>0</v>
      </c>
      <c r="BA84">
        <f t="shared" si="34"/>
        <v>0</v>
      </c>
      <c r="BB84">
        <f t="shared" si="34"/>
        <v>0</v>
      </c>
      <c r="BC84">
        <f t="shared" si="34"/>
        <v>0</v>
      </c>
      <c r="BD84">
        <f t="shared" si="34"/>
        <v>0</v>
      </c>
      <c r="BE84">
        <f t="shared" si="34"/>
        <v>0</v>
      </c>
    </row>
    <row r="85" spans="1:58" x14ac:dyDescent="0.2">
      <c r="A85">
        <v>50</v>
      </c>
      <c r="B85">
        <f t="shared" ref="B85:AG85" si="35">IF(OR(B82&lt;$C$75,B82&gt;$C$76),0,1)</f>
        <v>0</v>
      </c>
      <c r="C85">
        <f t="shared" si="35"/>
        <v>0</v>
      </c>
      <c r="D85">
        <f t="shared" si="35"/>
        <v>0</v>
      </c>
      <c r="E85">
        <f t="shared" si="35"/>
        <v>0</v>
      </c>
      <c r="F85">
        <f t="shared" si="35"/>
        <v>0</v>
      </c>
      <c r="G85">
        <f t="shared" si="35"/>
        <v>0</v>
      </c>
      <c r="H85">
        <f t="shared" si="35"/>
        <v>0</v>
      </c>
      <c r="I85">
        <f t="shared" si="35"/>
        <v>0</v>
      </c>
      <c r="J85">
        <f t="shared" si="35"/>
        <v>0</v>
      </c>
      <c r="K85">
        <f t="shared" si="35"/>
        <v>0</v>
      </c>
      <c r="L85">
        <f t="shared" si="35"/>
        <v>0</v>
      </c>
      <c r="M85">
        <f t="shared" si="35"/>
        <v>0</v>
      </c>
      <c r="N85">
        <f t="shared" si="35"/>
        <v>0</v>
      </c>
      <c r="O85">
        <f t="shared" si="35"/>
        <v>0</v>
      </c>
      <c r="P85">
        <f t="shared" si="35"/>
        <v>0</v>
      </c>
      <c r="Q85">
        <f t="shared" si="35"/>
        <v>0</v>
      </c>
      <c r="R85">
        <f t="shared" si="35"/>
        <v>0</v>
      </c>
      <c r="S85">
        <f t="shared" si="35"/>
        <v>0</v>
      </c>
      <c r="T85">
        <f t="shared" si="35"/>
        <v>0</v>
      </c>
      <c r="U85">
        <f t="shared" si="35"/>
        <v>0</v>
      </c>
      <c r="V85">
        <f t="shared" si="35"/>
        <v>0</v>
      </c>
      <c r="W85">
        <f t="shared" si="35"/>
        <v>0</v>
      </c>
      <c r="X85">
        <f t="shared" si="35"/>
        <v>0</v>
      </c>
      <c r="Y85">
        <f t="shared" si="35"/>
        <v>0</v>
      </c>
      <c r="Z85">
        <f t="shared" si="35"/>
        <v>1</v>
      </c>
      <c r="AA85">
        <f t="shared" si="35"/>
        <v>1</v>
      </c>
      <c r="AB85">
        <f t="shared" si="35"/>
        <v>1</v>
      </c>
      <c r="AC85">
        <f t="shared" si="35"/>
        <v>1</v>
      </c>
      <c r="AD85">
        <f t="shared" si="35"/>
        <v>1</v>
      </c>
      <c r="AE85">
        <f t="shared" si="35"/>
        <v>1</v>
      </c>
      <c r="AF85">
        <f t="shared" si="35"/>
        <v>1</v>
      </c>
      <c r="AG85">
        <f t="shared" si="35"/>
        <v>1</v>
      </c>
      <c r="AH85">
        <f t="shared" ref="AH85:BE85" si="36">IF(OR(AH82&lt;$C$75,AH82&gt;$C$76),0,1)</f>
        <v>0</v>
      </c>
      <c r="AI85">
        <f t="shared" si="36"/>
        <v>0</v>
      </c>
      <c r="AJ85">
        <f t="shared" si="36"/>
        <v>0</v>
      </c>
      <c r="AK85">
        <f t="shared" si="36"/>
        <v>0</v>
      </c>
      <c r="AL85">
        <f t="shared" si="36"/>
        <v>0</v>
      </c>
      <c r="AM85">
        <f t="shared" si="36"/>
        <v>0</v>
      </c>
      <c r="AN85">
        <f t="shared" si="36"/>
        <v>0</v>
      </c>
      <c r="AO85">
        <f t="shared" si="36"/>
        <v>0</v>
      </c>
      <c r="AP85">
        <f t="shared" si="36"/>
        <v>0</v>
      </c>
      <c r="AQ85">
        <f t="shared" si="36"/>
        <v>0</v>
      </c>
      <c r="AR85">
        <f t="shared" si="36"/>
        <v>0</v>
      </c>
      <c r="AS85">
        <f t="shared" si="36"/>
        <v>0</v>
      </c>
      <c r="AT85">
        <f t="shared" si="36"/>
        <v>0</v>
      </c>
      <c r="AU85">
        <f t="shared" si="36"/>
        <v>0</v>
      </c>
      <c r="AV85">
        <f t="shared" si="36"/>
        <v>0</v>
      </c>
      <c r="AW85">
        <f t="shared" si="36"/>
        <v>0</v>
      </c>
      <c r="AX85">
        <f t="shared" si="36"/>
        <v>0</v>
      </c>
      <c r="AY85">
        <f t="shared" si="36"/>
        <v>0</v>
      </c>
      <c r="AZ85">
        <f t="shared" si="36"/>
        <v>0</v>
      </c>
      <c r="BA85">
        <f t="shared" si="36"/>
        <v>0</v>
      </c>
      <c r="BB85">
        <f t="shared" si="36"/>
        <v>0</v>
      </c>
      <c r="BC85">
        <f t="shared" si="36"/>
        <v>0</v>
      </c>
      <c r="BD85">
        <f t="shared" si="36"/>
        <v>0</v>
      </c>
      <c r="BE85">
        <f t="shared" si="36"/>
        <v>0</v>
      </c>
    </row>
    <row r="86" spans="1:58" x14ac:dyDescent="0.2">
      <c r="A86">
        <v>35</v>
      </c>
      <c r="B86">
        <f t="shared" ref="B86:AG86" si="37">IF(OR(B82&lt;$C$76,B82&gt;$C$77),0,1)</f>
        <v>0</v>
      </c>
      <c r="C86">
        <f t="shared" si="37"/>
        <v>0</v>
      </c>
      <c r="D86">
        <f t="shared" si="37"/>
        <v>0</v>
      </c>
      <c r="E86">
        <f t="shared" si="37"/>
        <v>0</v>
      </c>
      <c r="F86">
        <f t="shared" si="37"/>
        <v>0</v>
      </c>
      <c r="G86">
        <f t="shared" si="37"/>
        <v>0</v>
      </c>
      <c r="H86">
        <f t="shared" si="37"/>
        <v>0</v>
      </c>
      <c r="I86">
        <f t="shared" si="37"/>
        <v>0</v>
      </c>
      <c r="J86">
        <f t="shared" si="37"/>
        <v>0</v>
      </c>
      <c r="K86">
        <f t="shared" si="37"/>
        <v>0</v>
      </c>
      <c r="L86">
        <f t="shared" si="37"/>
        <v>0</v>
      </c>
      <c r="M86">
        <f t="shared" si="37"/>
        <v>0</v>
      </c>
      <c r="N86">
        <f t="shared" si="37"/>
        <v>0</v>
      </c>
      <c r="O86">
        <f t="shared" si="37"/>
        <v>0</v>
      </c>
      <c r="P86">
        <f t="shared" si="37"/>
        <v>0</v>
      </c>
      <c r="Q86">
        <f t="shared" si="37"/>
        <v>0</v>
      </c>
      <c r="R86">
        <f t="shared" si="37"/>
        <v>0</v>
      </c>
      <c r="S86">
        <f t="shared" si="37"/>
        <v>0</v>
      </c>
      <c r="T86">
        <f t="shared" si="37"/>
        <v>0</v>
      </c>
      <c r="U86">
        <f t="shared" si="37"/>
        <v>0</v>
      </c>
      <c r="V86">
        <f t="shared" si="37"/>
        <v>0</v>
      </c>
      <c r="W86">
        <f t="shared" si="37"/>
        <v>0</v>
      </c>
      <c r="X86">
        <f t="shared" si="37"/>
        <v>0</v>
      </c>
      <c r="Y86">
        <f t="shared" si="37"/>
        <v>0</v>
      </c>
      <c r="Z86">
        <f t="shared" si="37"/>
        <v>0</v>
      </c>
      <c r="AA86">
        <f t="shared" si="37"/>
        <v>0</v>
      </c>
      <c r="AB86">
        <f t="shared" si="37"/>
        <v>0</v>
      </c>
      <c r="AC86">
        <f t="shared" si="37"/>
        <v>0</v>
      </c>
      <c r="AD86">
        <f t="shared" si="37"/>
        <v>0</v>
      </c>
      <c r="AE86">
        <f t="shared" si="37"/>
        <v>0</v>
      </c>
      <c r="AF86">
        <f t="shared" si="37"/>
        <v>0</v>
      </c>
      <c r="AG86">
        <f t="shared" si="37"/>
        <v>1</v>
      </c>
      <c r="AH86">
        <f t="shared" ref="AH86:BE86" si="38">IF(OR(AH82&lt;$C$76,AH82&gt;$C$77),0,1)</f>
        <v>1</v>
      </c>
      <c r="AI86">
        <f t="shared" si="38"/>
        <v>1</v>
      </c>
      <c r="AJ86">
        <f t="shared" si="38"/>
        <v>1</v>
      </c>
      <c r="AK86">
        <f t="shared" si="38"/>
        <v>0</v>
      </c>
      <c r="AL86">
        <f t="shared" si="38"/>
        <v>0</v>
      </c>
      <c r="AM86">
        <f t="shared" si="38"/>
        <v>0</v>
      </c>
      <c r="AN86">
        <f t="shared" si="38"/>
        <v>0</v>
      </c>
      <c r="AO86">
        <f t="shared" si="38"/>
        <v>0</v>
      </c>
      <c r="AP86">
        <f t="shared" si="38"/>
        <v>0</v>
      </c>
      <c r="AQ86">
        <f t="shared" si="38"/>
        <v>0</v>
      </c>
      <c r="AR86">
        <f t="shared" si="38"/>
        <v>0</v>
      </c>
      <c r="AS86">
        <f t="shared" si="38"/>
        <v>0</v>
      </c>
      <c r="AT86">
        <f t="shared" si="38"/>
        <v>0</v>
      </c>
      <c r="AU86">
        <f t="shared" si="38"/>
        <v>0</v>
      </c>
      <c r="AV86">
        <f t="shared" si="38"/>
        <v>0</v>
      </c>
      <c r="AW86">
        <f t="shared" si="38"/>
        <v>0</v>
      </c>
      <c r="AX86">
        <f t="shared" si="38"/>
        <v>0</v>
      </c>
      <c r="AY86">
        <f t="shared" si="38"/>
        <v>0</v>
      </c>
      <c r="AZ86">
        <f t="shared" si="38"/>
        <v>0</v>
      </c>
      <c r="BA86">
        <f t="shared" si="38"/>
        <v>0</v>
      </c>
      <c r="BB86">
        <f t="shared" si="38"/>
        <v>0</v>
      </c>
      <c r="BC86">
        <f t="shared" si="38"/>
        <v>0</v>
      </c>
      <c r="BD86">
        <f t="shared" si="38"/>
        <v>0</v>
      </c>
      <c r="BE86">
        <f t="shared" si="38"/>
        <v>0</v>
      </c>
    </row>
    <row r="87" spans="1:58" x14ac:dyDescent="0.2">
      <c r="A87">
        <v>25</v>
      </c>
      <c r="B87">
        <f t="shared" ref="B87:AG87" si="39">IF(OR(B82&lt;$C$77,B82&gt;$C$78),0,1)</f>
        <v>0</v>
      </c>
      <c r="C87">
        <f t="shared" si="39"/>
        <v>0</v>
      </c>
      <c r="D87">
        <f t="shared" si="39"/>
        <v>0</v>
      </c>
      <c r="E87">
        <f t="shared" si="39"/>
        <v>0</v>
      </c>
      <c r="F87">
        <f t="shared" si="39"/>
        <v>0</v>
      </c>
      <c r="G87">
        <f t="shared" si="39"/>
        <v>0</v>
      </c>
      <c r="H87">
        <f t="shared" si="39"/>
        <v>0</v>
      </c>
      <c r="I87">
        <f t="shared" si="39"/>
        <v>0</v>
      </c>
      <c r="J87">
        <f t="shared" si="39"/>
        <v>0</v>
      </c>
      <c r="K87">
        <f t="shared" si="39"/>
        <v>0</v>
      </c>
      <c r="L87">
        <f t="shared" si="39"/>
        <v>0</v>
      </c>
      <c r="M87">
        <f t="shared" si="39"/>
        <v>0</v>
      </c>
      <c r="N87">
        <f t="shared" si="39"/>
        <v>0</v>
      </c>
      <c r="O87">
        <f t="shared" si="39"/>
        <v>0</v>
      </c>
      <c r="P87">
        <f t="shared" si="39"/>
        <v>0</v>
      </c>
      <c r="Q87">
        <f t="shared" si="39"/>
        <v>0</v>
      </c>
      <c r="R87">
        <f t="shared" si="39"/>
        <v>0</v>
      </c>
      <c r="S87">
        <f t="shared" si="39"/>
        <v>0</v>
      </c>
      <c r="T87">
        <f t="shared" si="39"/>
        <v>0</v>
      </c>
      <c r="U87">
        <f t="shared" si="39"/>
        <v>0</v>
      </c>
      <c r="V87">
        <f t="shared" si="39"/>
        <v>0</v>
      </c>
      <c r="W87">
        <f t="shared" si="39"/>
        <v>0</v>
      </c>
      <c r="X87">
        <f t="shared" si="39"/>
        <v>0</v>
      </c>
      <c r="Y87">
        <f t="shared" si="39"/>
        <v>0</v>
      </c>
      <c r="Z87">
        <f t="shared" si="39"/>
        <v>0</v>
      </c>
      <c r="AA87">
        <f t="shared" si="39"/>
        <v>0</v>
      </c>
      <c r="AB87">
        <f t="shared" si="39"/>
        <v>0</v>
      </c>
      <c r="AC87">
        <f t="shared" si="39"/>
        <v>0</v>
      </c>
      <c r="AD87">
        <f t="shared" si="39"/>
        <v>0</v>
      </c>
      <c r="AE87">
        <f t="shared" si="39"/>
        <v>0</v>
      </c>
      <c r="AF87">
        <f t="shared" si="39"/>
        <v>0</v>
      </c>
      <c r="AG87">
        <f t="shared" si="39"/>
        <v>0</v>
      </c>
      <c r="AH87">
        <f t="shared" ref="AH87:BE87" si="40">IF(OR(AH82&lt;$C$77,AH82&gt;$C$78),0,1)</f>
        <v>0</v>
      </c>
      <c r="AI87">
        <f t="shared" si="40"/>
        <v>0</v>
      </c>
      <c r="AJ87">
        <f t="shared" si="40"/>
        <v>0</v>
      </c>
      <c r="AK87">
        <f t="shared" si="40"/>
        <v>1</v>
      </c>
      <c r="AL87">
        <f t="shared" si="40"/>
        <v>1</v>
      </c>
      <c r="AM87">
        <f t="shared" si="40"/>
        <v>1</v>
      </c>
      <c r="AN87">
        <f t="shared" si="40"/>
        <v>1</v>
      </c>
      <c r="AO87">
        <f t="shared" si="40"/>
        <v>0</v>
      </c>
      <c r="AP87">
        <f t="shared" si="40"/>
        <v>0</v>
      </c>
      <c r="AQ87">
        <f t="shared" si="40"/>
        <v>0</v>
      </c>
      <c r="AR87">
        <f t="shared" si="40"/>
        <v>0</v>
      </c>
      <c r="AS87">
        <f t="shared" si="40"/>
        <v>0</v>
      </c>
      <c r="AT87">
        <f t="shared" si="40"/>
        <v>0</v>
      </c>
      <c r="AU87">
        <f t="shared" si="40"/>
        <v>0</v>
      </c>
      <c r="AV87">
        <f t="shared" si="40"/>
        <v>0</v>
      </c>
      <c r="AW87">
        <f t="shared" si="40"/>
        <v>0</v>
      </c>
      <c r="AX87">
        <f t="shared" si="40"/>
        <v>0</v>
      </c>
      <c r="AY87">
        <f t="shared" si="40"/>
        <v>0</v>
      </c>
      <c r="AZ87">
        <f t="shared" si="40"/>
        <v>0</v>
      </c>
      <c r="BA87">
        <f t="shared" si="40"/>
        <v>0</v>
      </c>
      <c r="BB87">
        <f t="shared" si="40"/>
        <v>0</v>
      </c>
      <c r="BC87">
        <f t="shared" si="40"/>
        <v>0</v>
      </c>
      <c r="BD87">
        <f t="shared" si="40"/>
        <v>0</v>
      </c>
      <c r="BE87">
        <f t="shared" si="40"/>
        <v>0</v>
      </c>
    </row>
    <row r="88" spans="1:58" x14ac:dyDescent="0.2">
      <c r="A88" t="s">
        <v>516</v>
      </c>
      <c r="B88">
        <f t="shared" ref="B88:AG88" si="41">B23</f>
        <v>0</v>
      </c>
      <c r="C88">
        <f t="shared" si="41"/>
        <v>0</v>
      </c>
      <c r="D88">
        <f t="shared" si="41"/>
        <v>0</v>
      </c>
      <c r="E88">
        <f t="shared" si="41"/>
        <v>0</v>
      </c>
      <c r="F88">
        <f t="shared" si="41"/>
        <v>0</v>
      </c>
      <c r="G88">
        <f t="shared" si="41"/>
        <v>0</v>
      </c>
      <c r="H88">
        <f t="shared" si="41"/>
        <v>0</v>
      </c>
      <c r="I88">
        <f t="shared" si="41"/>
        <v>0</v>
      </c>
      <c r="J88">
        <f t="shared" si="41"/>
        <v>0</v>
      </c>
      <c r="K88">
        <f t="shared" si="41"/>
        <v>0</v>
      </c>
      <c r="L88">
        <f t="shared" si="41"/>
        <v>0</v>
      </c>
      <c r="M88">
        <f t="shared" si="41"/>
        <v>0</v>
      </c>
      <c r="N88">
        <f t="shared" si="41"/>
        <v>0.1</v>
      </c>
      <c r="O88">
        <f t="shared" si="41"/>
        <v>0.15</v>
      </c>
      <c r="P88">
        <f t="shared" si="41"/>
        <v>0.1</v>
      </c>
      <c r="Q88">
        <f t="shared" si="41"/>
        <v>0.15</v>
      </c>
      <c r="R88">
        <f t="shared" si="41"/>
        <v>0.35</v>
      </c>
      <c r="S88">
        <f t="shared" si="41"/>
        <v>0.5</v>
      </c>
      <c r="T88">
        <f t="shared" si="41"/>
        <v>0.8</v>
      </c>
      <c r="U88">
        <f t="shared" si="41"/>
        <v>1.65</v>
      </c>
      <c r="V88">
        <f t="shared" si="41"/>
        <v>2.4</v>
      </c>
      <c r="W88">
        <f t="shared" si="41"/>
        <v>3.4</v>
      </c>
      <c r="X88">
        <f t="shared" si="41"/>
        <v>3.55</v>
      </c>
      <c r="Y88">
        <f t="shared" si="41"/>
        <v>6.35</v>
      </c>
      <c r="Z88">
        <f t="shared" si="41"/>
        <v>6.85</v>
      </c>
      <c r="AA88">
        <f t="shared" si="41"/>
        <v>8.4499999999999993</v>
      </c>
      <c r="AB88">
        <f t="shared" si="41"/>
        <v>9.8000000000000007</v>
      </c>
      <c r="AC88">
        <f t="shared" si="41"/>
        <v>10.35</v>
      </c>
      <c r="AD88">
        <f t="shared" si="41"/>
        <v>11.95</v>
      </c>
      <c r="AE88">
        <f t="shared" si="41"/>
        <v>14.25</v>
      </c>
      <c r="AF88">
        <f t="shared" si="41"/>
        <v>15.75</v>
      </c>
      <c r="AG88">
        <f t="shared" si="41"/>
        <v>14.9</v>
      </c>
      <c r="AH88">
        <f t="shared" ref="AH88:BE88" si="42">AH23</f>
        <v>16.05</v>
      </c>
      <c r="AI88">
        <f t="shared" si="42"/>
        <v>15.8</v>
      </c>
      <c r="AJ88">
        <f t="shared" si="42"/>
        <v>15.5</v>
      </c>
      <c r="AK88">
        <f t="shared" si="42"/>
        <v>14.677499999999998</v>
      </c>
      <c r="AL88">
        <f t="shared" si="42"/>
        <v>13.365</v>
      </c>
      <c r="AM88">
        <f t="shared" si="42"/>
        <v>11.645</v>
      </c>
      <c r="AN88">
        <f t="shared" si="42"/>
        <v>10.324999999999999</v>
      </c>
      <c r="AO88">
        <f t="shared" si="42"/>
        <v>10.02</v>
      </c>
      <c r="AP88">
        <f t="shared" si="42"/>
        <v>6.9</v>
      </c>
      <c r="AQ88">
        <f t="shared" si="42"/>
        <v>5.7225000000000001</v>
      </c>
      <c r="AR88">
        <f t="shared" si="42"/>
        <v>0</v>
      </c>
      <c r="AS88">
        <f t="shared" si="42"/>
        <v>0</v>
      </c>
      <c r="AT88">
        <f t="shared" si="42"/>
        <v>0</v>
      </c>
      <c r="AU88">
        <f t="shared" si="42"/>
        <v>0</v>
      </c>
      <c r="AV88">
        <f t="shared" si="42"/>
        <v>0</v>
      </c>
      <c r="AW88">
        <f t="shared" si="42"/>
        <v>0</v>
      </c>
      <c r="AX88">
        <f t="shared" si="42"/>
        <v>0</v>
      </c>
      <c r="AY88">
        <f t="shared" si="42"/>
        <v>0</v>
      </c>
      <c r="AZ88">
        <f t="shared" si="42"/>
        <v>0</v>
      </c>
      <c r="BA88">
        <f t="shared" si="42"/>
        <v>0</v>
      </c>
      <c r="BB88">
        <f t="shared" si="42"/>
        <v>0</v>
      </c>
      <c r="BC88">
        <f t="shared" si="42"/>
        <v>0</v>
      </c>
      <c r="BD88">
        <f t="shared" si="42"/>
        <v>0</v>
      </c>
      <c r="BE88">
        <f t="shared" si="42"/>
        <v>0</v>
      </c>
    </row>
    <row r="89" spans="1:58" x14ac:dyDescent="0.2">
      <c r="A89" t="s">
        <v>415</v>
      </c>
    </row>
    <row r="90" spans="1:58" x14ac:dyDescent="0.2">
      <c r="A90" s="115">
        <v>1</v>
      </c>
      <c r="B90">
        <f t="shared" ref="B90:AG90" si="43">B83*B88</f>
        <v>0</v>
      </c>
      <c r="C90">
        <f t="shared" si="43"/>
        <v>0</v>
      </c>
      <c r="D90">
        <f t="shared" si="43"/>
        <v>0</v>
      </c>
      <c r="E90">
        <f t="shared" si="43"/>
        <v>0</v>
      </c>
      <c r="F90">
        <f t="shared" si="43"/>
        <v>0</v>
      </c>
      <c r="G90">
        <f t="shared" si="43"/>
        <v>0</v>
      </c>
      <c r="H90">
        <f t="shared" si="43"/>
        <v>0</v>
      </c>
      <c r="I90">
        <f t="shared" si="43"/>
        <v>0</v>
      </c>
      <c r="J90">
        <f t="shared" si="43"/>
        <v>0</v>
      </c>
      <c r="K90">
        <f t="shared" si="43"/>
        <v>0</v>
      </c>
      <c r="L90">
        <f t="shared" si="43"/>
        <v>0</v>
      </c>
      <c r="M90">
        <f t="shared" si="43"/>
        <v>0</v>
      </c>
      <c r="N90">
        <f t="shared" si="43"/>
        <v>0.1</v>
      </c>
      <c r="O90">
        <f t="shared" si="43"/>
        <v>0.15</v>
      </c>
      <c r="P90">
        <f t="shared" si="43"/>
        <v>0.1</v>
      </c>
      <c r="Q90">
        <f t="shared" si="43"/>
        <v>0.15</v>
      </c>
      <c r="R90">
        <f t="shared" si="43"/>
        <v>0</v>
      </c>
      <c r="S90">
        <f t="shared" si="43"/>
        <v>0</v>
      </c>
      <c r="T90">
        <f t="shared" si="43"/>
        <v>0</v>
      </c>
      <c r="U90">
        <f t="shared" si="43"/>
        <v>0</v>
      </c>
      <c r="V90">
        <f t="shared" si="43"/>
        <v>0</v>
      </c>
      <c r="W90">
        <f t="shared" si="43"/>
        <v>0</v>
      </c>
      <c r="X90">
        <f t="shared" si="43"/>
        <v>0</v>
      </c>
      <c r="Y90">
        <f t="shared" si="43"/>
        <v>0</v>
      </c>
      <c r="Z90">
        <f t="shared" si="43"/>
        <v>0</v>
      </c>
      <c r="AA90">
        <f t="shared" si="43"/>
        <v>0</v>
      </c>
      <c r="AB90">
        <f t="shared" si="43"/>
        <v>0</v>
      </c>
      <c r="AC90">
        <f t="shared" si="43"/>
        <v>0</v>
      </c>
      <c r="AD90">
        <f t="shared" si="43"/>
        <v>0</v>
      </c>
      <c r="AE90">
        <f t="shared" si="43"/>
        <v>0</v>
      </c>
      <c r="AF90">
        <f t="shared" si="43"/>
        <v>0</v>
      </c>
      <c r="AG90">
        <f t="shared" si="43"/>
        <v>0</v>
      </c>
      <c r="AH90">
        <f t="shared" ref="AH90:BE90" si="44">AH83*AH88</f>
        <v>0</v>
      </c>
      <c r="AI90">
        <f t="shared" si="44"/>
        <v>0</v>
      </c>
      <c r="AJ90">
        <f t="shared" si="44"/>
        <v>0</v>
      </c>
      <c r="AK90">
        <f t="shared" si="44"/>
        <v>0</v>
      </c>
      <c r="AL90">
        <f t="shared" si="44"/>
        <v>0</v>
      </c>
      <c r="AM90">
        <f t="shared" si="44"/>
        <v>0</v>
      </c>
      <c r="AN90">
        <f t="shared" si="44"/>
        <v>0</v>
      </c>
      <c r="AO90">
        <f t="shared" si="44"/>
        <v>0</v>
      </c>
      <c r="AP90">
        <f t="shared" si="44"/>
        <v>0</v>
      </c>
      <c r="AQ90">
        <f t="shared" si="44"/>
        <v>0</v>
      </c>
      <c r="AR90">
        <f t="shared" si="44"/>
        <v>0</v>
      </c>
      <c r="AS90">
        <f t="shared" si="44"/>
        <v>0</v>
      </c>
      <c r="AT90">
        <f t="shared" si="44"/>
        <v>0</v>
      </c>
      <c r="AU90">
        <f t="shared" si="44"/>
        <v>0</v>
      </c>
      <c r="AV90">
        <f t="shared" si="44"/>
        <v>0</v>
      </c>
      <c r="AW90">
        <f t="shared" si="44"/>
        <v>0</v>
      </c>
      <c r="AX90">
        <f t="shared" si="44"/>
        <v>0</v>
      </c>
      <c r="AY90">
        <f t="shared" si="44"/>
        <v>0</v>
      </c>
      <c r="AZ90">
        <f t="shared" si="44"/>
        <v>0</v>
      </c>
      <c r="BA90">
        <f t="shared" si="44"/>
        <v>0</v>
      </c>
      <c r="BB90">
        <f t="shared" si="44"/>
        <v>0</v>
      </c>
      <c r="BC90">
        <f t="shared" si="44"/>
        <v>0</v>
      </c>
      <c r="BD90">
        <f t="shared" si="44"/>
        <v>0</v>
      </c>
      <c r="BE90">
        <f t="shared" si="44"/>
        <v>0</v>
      </c>
      <c r="BF90">
        <f>SUM(B90:BE90)</f>
        <v>0.5</v>
      </c>
    </row>
    <row r="91" spans="1:58" x14ac:dyDescent="0.2">
      <c r="A91" s="115">
        <v>0.75</v>
      </c>
      <c r="B91">
        <f t="shared" ref="B91:AG91" si="45">B84*B88</f>
        <v>0</v>
      </c>
      <c r="C91">
        <f t="shared" si="45"/>
        <v>0</v>
      </c>
      <c r="D91">
        <f t="shared" si="45"/>
        <v>0</v>
      </c>
      <c r="E91">
        <f t="shared" si="45"/>
        <v>0</v>
      </c>
      <c r="F91">
        <f t="shared" si="45"/>
        <v>0</v>
      </c>
      <c r="G91">
        <f t="shared" si="45"/>
        <v>0</v>
      </c>
      <c r="H91">
        <f t="shared" si="45"/>
        <v>0</v>
      </c>
      <c r="I91">
        <f t="shared" si="45"/>
        <v>0</v>
      </c>
      <c r="J91">
        <f t="shared" si="45"/>
        <v>0</v>
      </c>
      <c r="K91">
        <f t="shared" si="45"/>
        <v>0</v>
      </c>
      <c r="L91">
        <f t="shared" si="45"/>
        <v>0</v>
      </c>
      <c r="M91">
        <f t="shared" si="45"/>
        <v>0</v>
      </c>
      <c r="N91">
        <f t="shared" si="45"/>
        <v>0</v>
      </c>
      <c r="O91">
        <f t="shared" si="45"/>
        <v>0</v>
      </c>
      <c r="P91">
        <f t="shared" si="45"/>
        <v>0</v>
      </c>
      <c r="Q91">
        <f t="shared" si="45"/>
        <v>0</v>
      </c>
      <c r="R91">
        <f t="shared" si="45"/>
        <v>0.35</v>
      </c>
      <c r="S91">
        <f t="shared" si="45"/>
        <v>0.5</v>
      </c>
      <c r="T91">
        <f t="shared" si="45"/>
        <v>0.8</v>
      </c>
      <c r="U91">
        <f t="shared" si="45"/>
        <v>1.65</v>
      </c>
      <c r="V91">
        <f t="shared" si="45"/>
        <v>2.4</v>
      </c>
      <c r="W91">
        <f t="shared" si="45"/>
        <v>3.4</v>
      </c>
      <c r="X91">
        <f t="shared" si="45"/>
        <v>3.55</v>
      </c>
      <c r="Y91">
        <f t="shared" si="45"/>
        <v>6.35</v>
      </c>
      <c r="Z91">
        <f t="shared" si="45"/>
        <v>6.85</v>
      </c>
      <c r="AA91">
        <f t="shared" si="45"/>
        <v>0</v>
      </c>
      <c r="AB91">
        <f t="shared" si="45"/>
        <v>0</v>
      </c>
      <c r="AC91">
        <f t="shared" si="45"/>
        <v>0</v>
      </c>
      <c r="AD91">
        <f t="shared" si="45"/>
        <v>0</v>
      </c>
      <c r="AE91">
        <f t="shared" si="45"/>
        <v>0</v>
      </c>
      <c r="AF91">
        <f t="shared" si="45"/>
        <v>0</v>
      </c>
      <c r="AG91">
        <f t="shared" si="45"/>
        <v>0</v>
      </c>
      <c r="AH91">
        <f t="shared" ref="AH91:BE91" si="46">AH84*AH88</f>
        <v>0</v>
      </c>
      <c r="AI91">
        <f t="shared" si="46"/>
        <v>0</v>
      </c>
      <c r="AJ91">
        <f t="shared" si="46"/>
        <v>0</v>
      </c>
      <c r="AK91">
        <f t="shared" si="46"/>
        <v>0</v>
      </c>
      <c r="AL91">
        <f t="shared" si="46"/>
        <v>0</v>
      </c>
      <c r="AM91">
        <f t="shared" si="46"/>
        <v>0</v>
      </c>
      <c r="AN91">
        <f t="shared" si="46"/>
        <v>0</v>
      </c>
      <c r="AO91">
        <f t="shared" si="46"/>
        <v>0</v>
      </c>
      <c r="AP91">
        <f t="shared" si="46"/>
        <v>0</v>
      </c>
      <c r="AQ91">
        <f t="shared" si="46"/>
        <v>0</v>
      </c>
      <c r="AR91">
        <f t="shared" si="46"/>
        <v>0</v>
      </c>
      <c r="AS91">
        <f t="shared" si="46"/>
        <v>0</v>
      </c>
      <c r="AT91">
        <f t="shared" si="46"/>
        <v>0</v>
      </c>
      <c r="AU91">
        <f t="shared" si="46"/>
        <v>0</v>
      </c>
      <c r="AV91">
        <f t="shared" si="46"/>
        <v>0</v>
      </c>
      <c r="AW91">
        <f t="shared" si="46"/>
        <v>0</v>
      </c>
      <c r="AX91">
        <f t="shared" si="46"/>
        <v>0</v>
      </c>
      <c r="AY91">
        <f t="shared" si="46"/>
        <v>0</v>
      </c>
      <c r="AZ91">
        <f t="shared" si="46"/>
        <v>0</v>
      </c>
      <c r="BA91">
        <f t="shared" si="46"/>
        <v>0</v>
      </c>
      <c r="BB91">
        <f t="shared" si="46"/>
        <v>0</v>
      </c>
      <c r="BC91">
        <f t="shared" si="46"/>
        <v>0</v>
      </c>
      <c r="BD91">
        <f t="shared" si="46"/>
        <v>0</v>
      </c>
      <c r="BE91">
        <f t="shared" si="46"/>
        <v>0</v>
      </c>
      <c r="BF91">
        <f>SUM(B91:BE91)</f>
        <v>25.85</v>
      </c>
    </row>
    <row r="92" spans="1:58" x14ac:dyDescent="0.2">
      <c r="A92" s="115">
        <v>0.5</v>
      </c>
      <c r="B92">
        <f t="shared" ref="B92:AG92" si="47">B85*B88</f>
        <v>0</v>
      </c>
      <c r="C92">
        <f t="shared" si="47"/>
        <v>0</v>
      </c>
      <c r="D92">
        <f t="shared" si="47"/>
        <v>0</v>
      </c>
      <c r="E92">
        <f t="shared" si="47"/>
        <v>0</v>
      </c>
      <c r="F92">
        <f t="shared" si="47"/>
        <v>0</v>
      </c>
      <c r="G92">
        <f t="shared" si="47"/>
        <v>0</v>
      </c>
      <c r="H92">
        <f t="shared" si="47"/>
        <v>0</v>
      </c>
      <c r="I92">
        <f t="shared" si="47"/>
        <v>0</v>
      </c>
      <c r="J92">
        <f t="shared" si="47"/>
        <v>0</v>
      </c>
      <c r="K92">
        <f t="shared" si="47"/>
        <v>0</v>
      </c>
      <c r="L92">
        <f t="shared" si="47"/>
        <v>0</v>
      </c>
      <c r="M92">
        <f t="shared" si="47"/>
        <v>0</v>
      </c>
      <c r="N92">
        <f t="shared" si="47"/>
        <v>0</v>
      </c>
      <c r="O92">
        <f t="shared" si="47"/>
        <v>0</v>
      </c>
      <c r="P92">
        <f t="shared" si="47"/>
        <v>0</v>
      </c>
      <c r="Q92">
        <f t="shared" si="47"/>
        <v>0</v>
      </c>
      <c r="R92">
        <f t="shared" si="47"/>
        <v>0</v>
      </c>
      <c r="S92">
        <f t="shared" si="47"/>
        <v>0</v>
      </c>
      <c r="T92">
        <f t="shared" si="47"/>
        <v>0</v>
      </c>
      <c r="U92">
        <f t="shared" si="47"/>
        <v>0</v>
      </c>
      <c r="V92">
        <f t="shared" si="47"/>
        <v>0</v>
      </c>
      <c r="W92">
        <f t="shared" si="47"/>
        <v>0</v>
      </c>
      <c r="X92">
        <f t="shared" si="47"/>
        <v>0</v>
      </c>
      <c r="Y92">
        <f t="shared" si="47"/>
        <v>0</v>
      </c>
      <c r="Z92">
        <f t="shared" si="47"/>
        <v>6.85</v>
      </c>
      <c r="AA92">
        <f t="shared" si="47"/>
        <v>8.4499999999999993</v>
      </c>
      <c r="AB92">
        <f t="shared" si="47"/>
        <v>9.8000000000000007</v>
      </c>
      <c r="AC92">
        <f t="shared" si="47"/>
        <v>10.35</v>
      </c>
      <c r="AD92">
        <f t="shared" si="47"/>
        <v>11.95</v>
      </c>
      <c r="AE92">
        <f t="shared" si="47"/>
        <v>14.25</v>
      </c>
      <c r="AF92">
        <f t="shared" si="47"/>
        <v>15.75</v>
      </c>
      <c r="AG92">
        <f t="shared" si="47"/>
        <v>14.9</v>
      </c>
      <c r="AH92">
        <f t="shared" ref="AH92:BE92" si="48">AH85*AH88</f>
        <v>0</v>
      </c>
      <c r="AI92">
        <f t="shared" si="48"/>
        <v>0</v>
      </c>
      <c r="AJ92">
        <f t="shared" si="48"/>
        <v>0</v>
      </c>
      <c r="AK92">
        <f t="shared" si="48"/>
        <v>0</v>
      </c>
      <c r="AL92">
        <f t="shared" si="48"/>
        <v>0</v>
      </c>
      <c r="AM92">
        <f t="shared" si="48"/>
        <v>0</v>
      </c>
      <c r="AN92">
        <f t="shared" si="48"/>
        <v>0</v>
      </c>
      <c r="AO92">
        <f t="shared" si="48"/>
        <v>0</v>
      </c>
      <c r="AP92">
        <f t="shared" si="48"/>
        <v>0</v>
      </c>
      <c r="AQ92">
        <f t="shared" si="48"/>
        <v>0</v>
      </c>
      <c r="AR92">
        <f t="shared" si="48"/>
        <v>0</v>
      </c>
      <c r="AS92">
        <f t="shared" si="48"/>
        <v>0</v>
      </c>
      <c r="AT92">
        <f t="shared" si="48"/>
        <v>0</v>
      </c>
      <c r="AU92">
        <f t="shared" si="48"/>
        <v>0</v>
      </c>
      <c r="AV92">
        <f t="shared" si="48"/>
        <v>0</v>
      </c>
      <c r="AW92">
        <f t="shared" si="48"/>
        <v>0</v>
      </c>
      <c r="AX92">
        <f t="shared" si="48"/>
        <v>0</v>
      </c>
      <c r="AY92">
        <f t="shared" si="48"/>
        <v>0</v>
      </c>
      <c r="AZ92">
        <f t="shared" si="48"/>
        <v>0</v>
      </c>
      <c r="BA92">
        <f t="shared" si="48"/>
        <v>0</v>
      </c>
      <c r="BB92">
        <f t="shared" si="48"/>
        <v>0</v>
      </c>
      <c r="BC92">
        <f t="shared" si="48"/>
        <v>0</v>
      </c>
      <c r="BD92">
        <f t="shared" si="48"/>
        <v>0</v>
      </c>
      <c r="BE92">
        <f t="shared" si="48"/>
        <v>0</v>
      </c>
      <c r="BF92">
        <f>SUM(B92:BE92)</f>
        <v>92.300000000000011</v>
      </c>
    </row>
    <row r="93" spans="1:58" x14ac:dyDescent="0.2">
      <c r="A93" s="115">
        <v>0.35</v>
      </c>
      <c r="B93">
        <f t="shared" ref="B93:AG93" si="49">B86*B88</f>
        <v>0</v>
      </c>
      <c r="C93">
        <f t="shared" si="49"/>
        <v>0</v>
      </c>
      <c r="D93">
        <f t="shared" si="49"/>
        <v>0</v>
      </c>
      <c r="E93">
        <f t="shared" si="49"/>
        <v>0</v>
      </c>
      <c r="F93">
        <f t="shared" si="49"/>
        <v>0</v>
      </c>
      <c r="G93">
        <f t="shared" si="49"/>
        <v>0</v>
      </c>
      <c r="H93">
        <f t="shared" si="49"/>
        <v>0</v>
      </c>
      <c r="I93">
        <f t="shared" si="49"/>
        <v>0</v>
      </c>
      <c r="J93">
        <f t="shared" si="49"/>
        <v>0</v>
      </c>
      <c r="K93">
        <f t="shared" si="49"/>
        <v>0</v>
      </c>
      <c r="L93">
        <f t="shared" si="49"/>
        <v>0</v>
      </c>
      <c r="M93">
        <f t="shared" si="49"/>
        <v>0</v>
      </c>
      <c r="N93">
        <f t="shared" si="49"/>
        <v>0</v>
      </c>
      <c r="O93">
        <f t="shared" si="49"/>
        <v>0</v>
      </c>
      <c r="P93">
        <f t="shared" si="49"/>
        <v>0</v>
      </c>
      <c r="Q93">
        <f t="shared" si="49"/>
        <v>0</v>
      </c>
      <c r="R93">
        <f t="shared" si="49"/>
        <v>0</v>
      </c>
      <c r="S93">
        <f t="shared" si="49"/>
        <v>0</v>
      </c>
      <c r="T93">
        <f t="shared" si="49"/>
        <v>0</v>
      </c>
      <c r="U93">
        <f t="shared" si="49"/>
        <v>0</v>
      </c>
      <c r="V93">
        <f t="shared" si="49"/>
        <v>0</v>
      </c>
      <c r="W93">
        <f t="shared" si="49"/>
        <v>0</v>
      </c>
      <c r="X93">
        <f t="shared" si="49"/>
        <v>0</v>
      </c>
      <c r="Y93">
        <f t="shared" si="49"/>
        <v>0</v>
      </c>
      <c r="Z93">
        <f t="shared" si="49"/>
        <v>0</v>
      </c>
      <c r="AA93">
        <f t="shared" si="49"/>
        <v>0</v>
      </c>
      <c r="AB93">
        <f t="shared" si="49"/>
        <v>0</v>
      </c>
      <c r="AC93">
        <f t="shared" si="49"/>
        <v>0</v>
      </c>
      <c r="AD93">
        <f t="shared" si="49"/>
        <v>0</v>
      </c>
      <c r="AE93">
        <f t="shared" si="49"/>
        <v>0</v>
      </c>
      <c r="AF93">
        <f t="shared" si="49"/>
        <v>0</v>
      </c>
      <c r="AG93">
        <f t="shared" si="49"/>
        <v>14.9</v>
      </c>
      <c r="AH93">
        <f t="shared" ref="AH93:BE93" si="50">AH86*AH88</f>
        <v>16.05</v>
      </c>
      <c r="AI93">
        <f t="shared" si="50"/>
        <v>15.8</v>
      </c>
      <c r="AJ93">
        <f t="shared" si="50"/>
        <v>15.5</v>
      </c>
      <c r="AK93">
        <f t="shared" si="50"/>
        <v>0</v>
      </c>
      <c r="AL93">
        <f t="shared" si="50"/>
        <v>0</v>
      </c>
      <c r="AM93">
        <f t="shared" si="50"/>
        <v>0</v>
      </c>
      <c r="AN93">
        <f t="shared" si="50"/>
        <v>0</v>
      </c>
      <c r="AO93">
        <f t="shared" si="50"/>
        <v>0</v>
      </c>
      <c r="AP93">
        <f t="shared" si="50"/>
        <v>0</v>
      </c>
      <c r="AQ93">
        <f t="shared" si="50"/>
        <v>0</v>
      </c>
      <c r="AR93">
        <f t="shared" si="50"/>
        <v>0</v>
      </c>
      <c r="AS93">
        <f t="shared" si="50"/>
        <v>0</v>
      </c>
      <c r="AT93">
        <f t="shared" si="50"/>
        <v>0</v>
      </c>
      <c r="AU93">
        <f t="shared" si="50"/>
        <v>0</v>
      </c>
      <c r="AV93">
        <f t="shared" si="50"/>
        <v>0</v>
      </c>
      <c r="AW93">
        <f t="shared" si="50"/>
        <v>0</v>
      </c>
      <c r="AX93">
        <f t="shared" si="50"/>
        <v>0</v>
      </c>
      <c r="AY93">
        <f t="shared" si="50"/>
        <v>0</v>
      </c>
      <c r="AZ93">
        <f t="shared" si="50"/>
        <v>0</v>
      </c>
      <c r="BA93">
        <f t="shared" si="50"/>
        <v>0</v>
      </c>
      <c r="BB93">
        <f t="shared" si="50"/>
        <v>0</v>
      </c>
      <c r="BC93">
        <f t="shared" si="50"/>
        <v>0</v>
      </c>
      <c r="BD93">
        <f t="shared" si="50"/>
        <v>0</v>
      </c>
      <c r="BE93">
        <f t="shared" si="50"/>
        <v>0</v>
      </c>
      <c r="BF93">
        <f>SUM(B93:BE93)</f>
        <v>62.25</v>
      </c>
    </row>
    <row r="94" spans="1:58" x14ac:dyDescent="0.2">
      <c r="A94" s="115">
        <v>0.25</v>
      </c>
      <c r="B94">
        <f t="shared" ref="B94:AG94" si="51">B87*B88</f>
        <v>0</v>
      </c>
      <c r="C94">
        <f t="shared" si="51"/>
        <v>0</v>
      </c>
      <c r="D94">
        <f t="shared" si="51"/>
        <v>0</v>
      </c>
      <c r="E94">
        <f t="shared" si="51"/>
        <v>0</v>
      </c>
      <c r="F94">
        <f t="shared" si="51"/>
        <v>0</v>
      </c>
      <c r="G94">
        <f t="shared" si="51"/>
        <v>0</v>
      </c>
      <c r="H94">
        <f t="shared" si="51"/>
        <v>0</v>
      </c>
      <c r="I94">
        <f t="shared" si="51"/>
        <v>0</v>
      </c>
      <c r="J94">
        <f t="shared" si="51"/>
        <v>0</v>
      </c>
      <c r="K94">
        <f t="shared" si="51"/>
        <v>0</v>
      </c>
      <c r="L94">
        <f t="shared" si="51"/>
        <v>0</v>
      </c>
      <c r="M94">
        <f t="shared" si="51"/>
        <v>0</v>
      </c>
      <c r="N94">
        <f t="shared" si="51"/>
        <v>0</v>
      </c>
      <c r="O94">
        <f t="shared" si="51"/>
        <v>0</v>
      </c>
      <c r="P94">
        <f t="shared" si="51"/>
        <v>0</v>
      </c>
      <c r="Q94">
        <f t="shared" si="51"/>
        <v>0</v>
      </c>
      <c r="R94">
        <f t="shared" si="51"/>
        <v>0</v>
      </c>
      <c r="S94">
        <f t="shared" si="51"/>
        <v>0</v>
      </c>
      <c r="T94">
        <f t="shared" si="51"/>
        <v>0</v>
      </c>
      <c r="U94">
        <f t="shared" si="51"/>
        <v>0</v>
      </c>
      <c r="V94">
        <f t="shared" si="51"/>
        <v>0</v>
      </c>
      <c r="W94">
        <f t="shared" si="51"/>
        <v>0</v>
      </c>
      <c r="X94">
        <f t="shared" si="51"/>
        <v>0</v>
      </c>
      <c r="Y94">
        <f t="shared" si="51"/>
        <v>0</v>
      </c>
      <c r="Z94">
        <f t="shared" si="51"/>
        <v>0</v>
      </c>
      <c r="AA94">
        <f t="shared" si="51"/>
        <v>0</v>
      </c>
      <c r="AB94">
        <f t="shared" si="51"/>
        <v>0</v>
      </c>
      <c r="AC94">
        <f t="shared" si="51"/>
        <v>0</v>
      </c>
      <c r="AD94">
        <f t="shared" si="51"/>
        <v>0</v>
      </c>
      <c r="AE94">
        <f t="shared" si="51"/>
        <v>0</v>
      </c>
      <c r="AF94">
        <f t="shared" si="51"/>
        <v>0</v>
      </c>
      <c r="AG94">
        <f t="shared" si="51"/>
        <v>0</v>
      </c>
      <c r="AH94">
        <f t="shared" ref="AH94:BE94" si="52">AH87*AH88</f>
        <v>0</v>
      </c>
      <c r="AI94">
        <f t="shared" si="52"/>
        <v>0</v>
      </c>
      <c r="AJ94">
        <f t="shared" si="52"/>
        <v>0</v>
      </c>
      <c r="AK94">
        <f t="shared" si="52"/>
        <v>14.677499999999998</v>
      </c>
      <c r="AL94">
        <f t="shared" si="52"/>
        <v>13.365</v>
      </c>
      <c r="AM94">
        <f t="shared" si="52"/>
        <v>11.645</v>
      </c>
      <c r="AN94">
        <f t="shared" si="52"/>
        <v>10.324999999999999</v>
      </c>
      <c r="AO94">
        <f t="shared" si="52"/>
        <v>0</v>
      </c>
      <c r="AP94">
        <f t="shared" si="52"/>
        <v>0</v>
      </c>
      <c r="AQ94">
        <f>AQ87*AQ88</f>
        <v>0</v>
      </c>
      <c r="AR94">
        <f t="shared" si="52"/>
        <v>0</v>
      </c>
      <c r="AS94">
        <f t="shared" si="52"/>
        <v>0</v>
      </c>
      <c r="AT94">
        <f t="shared" si="52"/>
        <v>0</v>
      </c>
      <c r="AU94">
        <f t="shared" si="52"/>
        <v>0</v>
      </c>
      <c r="AV94">
        <f t="shared" si="52"/>
        <v>0</v>
      </c>
      <c r="AW94">
        <f t="shared" si="52"/>
        <v>0</v>
      </c>
      <c r="AX94">
        <f t="shared" si="52"/>
        <v>0</v>
      </c>
      <c r="AY94">
        <f t="shared" si="52"/>
        <v>0</v>
      </c>
      <c r="AZ94">
        <f t="shared" si="52"/>
        <v>0</v>
      </c>
      <c r="BA94">
        <f t="shared" si="52"/>
        <v>0</v>
      </c>
      <c r="BB94">
        <f t="shared" si="52"/>
        <v>0</v>
      </c>
      <c r="BC94">
        <f t="shared" si="52"/>
        <v>0</v>
      </c>
      <c r="BD94">
        <f t="shared" si="52"/>
        <v>0</v>
      </c>
      <c r="BE94">
        <f t="shared" si="52"/>
        <v>0</v>
      </c>
      <c r="BF94">
        <f>SUM(B94:BE94)</f>
        <v>50.012500000000003</v>
      </c>
    </row>
    <row r="96" spans="1:58" x14ac:dyDescent="0.2">
      <c r="BF96">
        <f>SUM(BF90:BF94)</f>
        <v>230.91250000000002</v>
      </c>
    </row>
    <row r="99" spans="1:2" x14ac:dyDescent="0.2">
      <c r="A99">
        <v>100</v>
      </c>
      <c r="B99">
        <f>BF90</f>
        <v>0.5</v>
      </c>
    </row>
    <row r="100" spans="1:2" x14ac:dyDescent="0.2">
      <c r="A100">
        <v>75</v>
      </c>
      <c r="B100">
        <f>BF91</f>
        <v>25.85</v>
      </c>
    </row>
    <row r="101" spans="1:2" x14ac:dyDescent="0.2">
      <c r="A101">
        <v>50</v>
      </c>
      <c r="B101">
        <f>BF92</f>
        <v>92.300000000000011</v>
      </c>
    </row>
    <row r="102" spans="1:2" x14ac:dyDescent="0.2">
      <c r="A102">
        <v>35</v>
      </c>
      <c r="B102">
        <f>BF93</f>
        <v>62.25</v>
      </c>
    </row>
    <row r="103" spans="1:2" x14ac:dyDescent="0.2">
      <c r="A103">
        <v>25</v>
      </c>
      <c r="B103">
        <f>BF94</f>
        <v>50.012500000000003</v>
      </c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/>
  <dimension ref="A1:Q70"/>
  <sheetViews>
    <sheetView topLeftCell="A7" workbookViewId="0">
      <selection activeCell="D30" sqref="D30"/>
    </sheetView>
  </sheetViews>
  <sheetFormatPr baseColWidth="10" defaultRowHeight="12.75" x14ac:dyDescent="0.2"/>
  <cols>
    <col min="1" max="1" width="31.42578125" customWidth="1"/>
    <col min="2" max="2" width="9.85546875" customWidth="1"/>
    <col min="3" max="3" width="14.42578125" customWidth="1"/>
    <col min="5" max="5" width="12.7109375" customWidth="1"/>
    <col min="9" max="9" width="28.28515625" customWidth="1"/>
    <col min="10" max="10" width="15.28515625" customWidth="1"/>
    <col min="14" max="14" width="28.42578125" bestFit="1" customWidth="1"/>
  </cols>
  <sheetData>
    <row r="1" spans="1:17" s="187" customFormat="1" x14ac:dyDescent="0.2">
      <c r="A1" s="576" t="s">
        <v>680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</row>
    <row r="2" spans="1:17" s="187" customFormat="1" x14ac:dyDescent="0.2">
      <c r="A2" s="576"/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  <c r="Q2" s="576"/>
    </row>
    <row r="3" spans="1:17" s="187" customFormat="1" x14ac:dyDescent="0.2"/>
    <row r="4" spans="1:17" s="187" customFormat="1" x14ac:dyDescent="0.2">
      <c r="E4" s="68"/>
      <c r="G4" s="42"/>
      <c r="N4" s="405"/>
      <c r="O4" s="406"/>
      <c r="P4" s="406"/>
      <c r="Q4" s="406"/>
    </row>
    <row r="5" spans="1:17" s="187" customFormat="1" x14ac:dyDescent="0.2">
      <c r="N5" s="405"/>
      <c r="O5" s="406"/>
      <c r="P5" s="406"/>
      <c r="Q5" s="406"/>
    </row>
    <row r="6" spans="1:17" s="187" customFormat="1" x14ac:dyDescent="0.2">
      <c r="A6" s="199" t="s">
        <v>710</v>
      </c>
      <c r="B6" s="468" t="str">
        <f>'BdD Bâtiment'!$B$71</f>
        <v>OCBB (tirage naturel)</v>
      </c>
      <c r="C6" s="581" t="str">
        <f>'BdD Bâtiment'!$B$72</f>
        <v>CBI GS (tirage naturel)</v>
      </c>
      <c r="D6" s="582"/>
      <c r="E6" s="468" t="str">
        <f>'BdD Bâtiment'!$B$73</f>
        <v>OCBI C (combustion inversée)</v>
      </c>
      <c r="F6" s="583" t="str">
        <f>'BdD Bâtiment'!$B$74</f>
        <v>OEtraPellet Basic</v>
      </c>
      <c r="G6" s="584"/>
      <c r="H6" s="585"/>
      <c r="I6" s="581" t="str">
        <f>'BdD Bâtiment'!$B$75</f>
        <v>OEtraPellet Compact</v>
      </c>
      <c r="J6" s="582"/>
      <c r="N6" s="405"/>
      <c r="O6" s="406"/>
      <c r="P6" s="406"/>
      <c r="Q6" s="406"/>
    </row>
    <row r="7" spans="1:17" s="187" customFormat="1" x14ac:dyDescent="0.2">
      <c r="A7" s="199" t="s">
        <v>711</v>
      </c>
      <c r="B7" s="460" t="str">
        <f>'BdD Bâtiment'!$E$87</f>
        <v>OCBB 15 E</v>
      </c>
      <c r="C7" s="465" t="str">
        <f>'BdD Bâtiment'!$F$87</f>
        <v>CBI 20 GS</v>
      </c>
      <c r="D7" s="460" t="str">
        <f>'BdD Bâtiment'!$F$88</f>
        <v>CBI 32 GS</v>
      </c>
      <c r="E7" s="460" t="str">
        <f>'BdD Bâtiment'!$G$87</f>
        <v>OCBI 30-C5</v>
      </c>
      <c r="F7" s="469" t="str">
        <f>'BdD Bâtiment'!$H$87</f>
        <v/>
      </c>
      <c r="G7" s="469" t="str">
        <f>'BdD Bâtiment'!$H$88</f>
        <v>OEtraPellet 24 Basic</v>
      </c>
      <c r="H7" s="469" t="str">
        <f>'BdD Bâtiment'!$H$89</f>
        <v/>
      </c>
      <c r="I7" s="465" t="str">
        <f>'BdD Bâtiment'!$I$87</f>
        <v/>
      </c>
      <c r="J7" s="460" t="str">
        <f>'BdD Bâtiment'!$I$88</f>
        <v>OEtraPellet 24 Compact</v>
      </c>
      <c r="N7" s="405"/>
      <c r="O7" s="406"/>
      <c r="P7" s="406"/>
      <c r="Q7" s="406"/>
    </row>
    <row r="8" spans="1:17" s="187" customFormat="1" x14ac:dyDescent="0.2">
      <c r="A8" s="199" t="s">
        <v>709</v>
      </c>
      <c r="B8" s="487">
        <v>14.9</v>
      </c>
      <c r="C8" s="461">
        <v>20</v>
      </c>
      <c r="D8" s="461">
        <v>35</v>
      </c>
      <c r="E8" s="461">
        <v>32</v>
      </c>
      <c r="F8" s="474" t="str">
        <f>""</f>
        <v/>
      </c>
      <c r="G8" s="479">
        <v>24</v>
      </c>
      <c r="H8" s="405" t="str">
        <f>""</f>
        <v/>
      </c>
      <c r="I8" s="479" t="str">
        <f>""</f>
        <v/>
      </c>
      <c r="J8" s="479">
        <v>24</v>
      </c>
      <c r="N8" s="405"/>
      <c r="O8" s="406"/>
      <c r="P8" s="406"/>
      <c r="Q8" s="406"/>
    </row>
    <row r="9" spans="1:17" s="187" customFormat="1" x14ac:dyDescent="0.2">
      <c r="A9" s="199" t="s">
        <v>713</v>
      </c>
      <c r="B9" s="464">
        <v>0.8</v>
      </c>
      <c r="C9" s="464">
        <v>0.89900000000000002</v>
      </c>
      <c r="D9" s="464">
        <v>0.88900000000000001</v>
      </c>
      <c r="E9" s="464">
        <v>0.89</v>
      </c>
      <c r="F9" s="475">
        <v>0.90099999999999991</v>
      </c>
      <c r="G9" s="470">
        <v>0.90200000000000002</v>
      </c>
      <c r="H9" s="480">
        <v>0.90400000000000003</v>
      </c>
      <c r="I9" s="470">
        <v>0.89599999999999991</v>
      </c>
      <c r="J9" s="470">
        <v>0.89300000000000002</v>
      </c>
      <c r="N9" s="405"/>
      <c r="O9" s="406"/>
      <c r="P9" s="406"/>
      <c r="Q9" s="406"/>
    </row>
    <row r="10" spans="1:17" s="187" customFormat="1" x14ac:dyDescent="0.2">
      <c r="A10" s="199" t="s">
        <v>712</v>
      </c>
      <c r="B10" s="463">
        <v>0</v>
      </c>
      <c r="C10" s="463">
        <v>0</v>
      </c>
      <c r="D10" s="463">
        <v>0</v>
      </c>
      <c r="E10" s="463">
        <v>0</v>
      </c>
      <c r="F10" s="476">
        <v>0.5</v>
      </c>
      <c r="G10" s="398">
        <v>0.5</v>
      </c>
      <c r="H10" s="481">
        <v>0.5</v>
      </c>
      <c r="I10" s="398">
        <v>0.5</v>
      </c>
      <c r="J10" s="398">
        <v>0.5</v>
      </c>
      <c r="N10" s="405"/>
      <c r="O10" s="406"/>
      <c r="P10" s="406"/>
      <c r="Q10" s="406"/>
    </row>
    <row r="11" spans="1:17" s="187" customFormat="1" x14ac:dyDescent="0.2">
      <c r="A11" s="199" t="s">
        <v>714</v>
      </c>
      <c r="B11" s="462">
        <v>14.9</v>
      </c>
      <c r="C11" s="462">
        <v>27</v>
      </c>
      <c r="D11" s="462">
        <v>35</v>
      </c>
      <c r="E11" s="462">
        <v>32</v>
      </c>
      <c r="F11" s="117" t="e">
        <f>F8*F10</f>
        <v>#VALUE!</v>
      </c>
      <c r="G11" s="462">
        <f t="shared" ref="G11:H11" si="0">G8*G10</f>
        <v>12</v>
      </c>
      <c r="H11" s="117" t="e">
        <f t="shared" si="0"/>
        <v>#VALUE!</v>
      </c>
      <c r="I11" s="462" t="e">
        <f>+I8*I10</f>
        <v>#VALUE!</v>
      </c>
      <c r="J11" s="462">
        <f>+J8*J10</f>
        <v>12</v>
      </c>
      <c r="N11" s="405"/>
      <c r="O11" s="406"/>
      <c r="P11" s="406"/>
      <c r="Q11" s="406"/>
    </row>
    <row r="12" spans="1:17" s="187" customFormat="1" x14ac:dyDescent="0.2">
      <c r="A12" s="199" t="s">
        <v>715</v>
      </c>
      <c r="B12" s="464">
        <v>0.8</v>
      </c>
      <c r="C12" s="464">
        <v>0.89900000000000002</v>
      </c>
      <c r="D12" s="464">
        <v>0.88900000000000001</v>
      </c>
      <c r="E12" s="464">
        <v>0.89</v>
      </c>
      <c r="F12" s="475">
        <v>0.878</v>
      </c>
      <c r="G12" s="470">
        <v>0.878</v>
      </c>
      <c r="H12" s="480">
        <v>0.878</v>
      </c>
      <c r="I12" s="470">
        <v>0.91799999999999993</v>
      </c>
      <c r="J12" s="470">
        <v>0.91799999999999993</v>
      </c>
      <c r="N12" s="405"/>
      <c r="O12" s="406"/>
      <c r="P12" s="406"/>
      <c r="Q12" s="406"/>
    </row>
    <row r="13" spans="1:17" s="187" customFormat="1" x14ac:dyDescent="0.2">
      <c r="A13" s="199" t="s">
        <v>725</v>
      </c>
      <c r="B13" s="510" t="s">
        <v>270</v>
      </c>
      <c r="C13" s="510" t="s">
        <v>270</v>
      </c>
      <c r="D13" s="510" t="s">
        <v>270</v>
      </c>
      <c r="E13" s="510" t="s">
        <v>270</v>
      </c>
      <c r="F13" s="511">
        <v>245</v>
      </c>
      <c r="G13" s="512">
        <v>245</v>
      </c>
      <c r="H13" s="513">
        <v>245</v>
      </c>
      <c r="I13" s="512">
        <v>60</v>
      </c>
      <c r="J13" s="512">
        <v>60</v>
      </c>
      <c r="N13" s="405"/>
      <c r="O13" s="406"/>
      <c r="P13" s="406"/>
      <c r="Q13" s="406"/>
    </row>
    <row r="14" spans="1:17" s="187" customFormat="1" x14ac:dyDescent="0.2">
      <c r="A14" s="199" t="s">
        <v>726</v>
      </c>
      <c r="B14" s="510" t="s">
        <v>270</v>
      </c>
      <c r="C14" s="510" t="s">
        <v>270</v>
      </c>
      <c r="D14" s="510" t="s">
        <v>270</v>
      </c>
      <c r="E14" s="510" t="s">
        <v>270</v>
      </c>
      <c r="F14" s="513">
        <f>F13*F18/1000</f>
        <v>1249.5</v>
      </c>
      <c r="G14" s="512">
        <f t="shared" ref="G14:J14" si="1">G13*G18/1000</f>
        <v>1249.5</v>
      </c>
      <c r="H14" s="513">
        <f t="shared" si="1"/>
        <v>1249.5</v>
      </c>
      <c r="I14" s="512">
        <f t="shared" si="1"/>
        <v>306</v>
      </c>
      <c r="J14" s="512">
        <f t="shared" si="1"/>
        <v>306</v>
      </c>
      <c r="N14" s="405"/>
      <c r="O14" s="406"/>
      <c r="P14" s="406"/>
      <c r="Q14" s="406"/>
    </row>
    <row r="15" spans="1:17" s="187" customFormat="1" x14ac:dyDescent="0.2">
      <c r="A15" s="199" t="s">
        <v>519</v>
      </c>
      <c r="B15" s="462">
        <v>6.5000000000000002E-2</v>
      </c>
      <c r="C15" s="466">
        <v>0.1</v>
      </c>
      <c r="D15" s="466">
        <v>0.14000000000000001</v>
      </c>
      <c r="E15" s="462">
        <v>0.1</v>
      </c>
      <c r="F15" s="117">
        <v>0.06</v>
      </c>
      <c r="G15" s="462">
        <v>0.06</v>
      </c>
      <c r="H15" s="117">
        <v>0.06</v>
      </c>
      <c r="I15" s="399">
        <v>2.1999999999999999E-2</v>
      </c>
      <c r="J15" s="399">
        <v>2.1999999999999999E-2</v>
      </c>
      <c r="N15" s="405"/>
      <c r="O15" s="406"/>
      <c r="P15" s="406"/>
      <c r="Q15" s="406"/>
    </row>
    <row r="16" spans="1:17" s="187" customFormat="1" x14ac:dyDescent="0.2">
      <c r="A16" s="199" t="s">
        <v>517</v>
      </c>
      <c r="B16" s="463">
        <v>0.7</v>
      </c>
      <c r="C16" s="463">
        <v>0.7</v>
      </c>
      <c r="D16" s="463">
        <v>0.7</v>
      </c>
      <c r="E16" s="463">
        <v>0.7</v>
      </c>
      <c r="F16" s="477">
        <v>1</v>
      </c>
      <c r="G16" s="463">
        <v>1</v>
      </c>
      <c r="H16" s="482">
        <v>1</v>
      </c>
      <c r="I16" s="463">
        <v>1</v>
      </c>
      <c r="J16" s="463">
        <v>1</v>
      </c>
      <c r="N16" s="405"/>
      <c r="O16" s="406"/>
      <c r="P16" s="406"/>
      <c r="Q16" s="406"/>
    </row>
    <row r="17" spans="1:17" s="187" customFormat="1" x14ac:dyDescent="0.2">
      <c r="A17" s="199" t="s">
        <v>518</v>
      </c>
      <c r="B17" s="462">
        <v>1800</v>
      </c>
      <c r="C17" s="462">
        <v>1800</v>
      </c>
      <c r="D17" s="462">
        <v>1800</v>
      </c>
      <c r="E17" s="462">
        <v>1800</v>
      </c>
      <c r="F17" s="473" t="s">
        <v>270</v>
      </c>
      <c r="G17" s="471" t="s">
        <v>270</v>
      </c>
      <c r="H17" s="473" t="s">
        <v>270</v>
      </c>
      <c r="I17" s="471" t="s">
        <v>270</v>
      </c>
      <c r="J17" s="471" t="s">
        <v>270</v>
      </c>
      <c r="N17" s="405"/>
      <c r="O17" s="406"/>
      <c r="P17" s="406"/>
      <c r="Q17" s="406"/>
    </row>
    <row r="18" spans="1:17" s="187" customFormat="1" x14ac:dyDescent="0.2">
      <c r="A18" s="199" t="s">
        <v>716</v>
      </c>
      <c r="B18" s="471" t="s">
        <v>270</v>
      </c>
      <c r="C18" s="471" t="s">
        <v>270</v>
      </c>
      <c r="D18" s="471" t="s">
        <v>270</v>
      </c>
      <c r="E18" s="471" t="s">
        <v>270</v>
      </c>
      <c r="F18" s="474">
        <v>5100</v>
      </c>
      <c r="G18" s="399">
        <v>5100</v>
      </c>
      <c r="H18" s="405">
        <v>5100</v>
      </c>
      <c r="I18" s="399">
        <v>5100</v>
      </c>
      <c r="J18" s="399">
        <v>5100</v>
      </c>
      <c r="N18" s="405"/>
      <c r="O18" s="406"/>
      <c r="P18" s="406"/>
      <c r="Q18" s="406"/>
    </row>
    <row r="19" spans="1:17" s="187" customFormat="1" x14ac:dyDescent="0.2">
      <c r="A19" s="199" t="s">
        <v>521</v>
      </c>
      <c r="B19" s="462">
        <v>900</v>
      </c>
      <c r="C19" s="462">
        <v>1000</v>
      </c>
      <c r="D19" s="462">
        <v>1500</v>
      </c>
      <c r="E19" s="462">
        <v>1500</v>
      </c>
      <c r="F19" s="474">
        <v>250</v>
      </c>
      <c r="G19" s="399">
        <v>250</v>
      </c>
      <c r="H19" s="405">
        <v>250</v>
      </c>
      <c r="I19" s="399">
        <v>150</v>
      </c>
      <c r="J19" s="399">
        <v>150</v>
      </c>
      <c r="N19" s="405"/>
      <c r="O19" s="406"/>
      <c r="P19" s="406"/>
      <c r="Q19" s="406"/>
    </row>
    <row r="20" spans="1:17" s="187" customFormat="1" x14ac:dyDescent="0.2">
      <c r="A20" s="199" t="s">
        <v>522</v>
      </c>
      <c r="B20" s="462">
        <f>B15*1000*13</f>
        <v>845</v>
      </c>
      <c r="C20" s="462">
        <f>C15*1000*13</f>
        <v>1300</v>
      </c>
      <c r="D20" s="462">
        <f>D15*1000*13</f>
        <v>1820</v>
      </c>
      <c r="E20" s="462">
        <f>E15*1000*13</f>
        <v>1300</v>
      </c>
      <c r="F20" s="117"/>
      <c r="G20" s="462"/>
      <c r="H20" s="117"/>
      <c r="I20" s="462"/>
      <c r="J20" s="462"/>
      <c r="N20" s="405"/>
      <c r="O20" s="406"/>
      <c r="P20" s="406"/>
      <c r="Q20" s="406"/>
    </row>
    <row r="21" spans="1:17" s="187" customFormat="1" x14ac:dyDescent="0.2">
      <c r="A21" s="199" t="s">
        <v>520</v>
      </c>
      <c r="B21" s="467">
        <f>B9*B15*B16*B17</f>
        <v>65.52000000000001</v>
      </c>
      <c r="C21" s="467">
        <f>C9*C15*C16*C17</f>
        <v>113.274</v>
      </c>
      <c r="D21" s="467">
        <f>D9*D15*D16*D17</f>
        <v>156.81960000000001</v>
      </c>
      <c r="E21" s="467">
        <f>E9*E15*E16*E17</f>
        <v>112.14</v>
      </c>
      <c r="F21" s="478">
        <f>F9*F15*F16*F18</f>
        <v>275.70599999999996</v>
      </c>
      <c r="G21" s="467">
        <f>G9*G15*G16*G18</f>
        <v>276.012</v>
      </c>
      <c r="H21" s="483">
        <f>H9*H15*H16*H18</f>
        <v>276.62399999999997</v>
      </c>
      <c r="I21" s="467">
        <f>I9*I15*I16*I18</f>
        <v>100.53119999999998</v>
      </c>
      <c r="J21" s="467">
        <f>J9*J15*J16*J18</f>
        <v>100.19460000000001</v>
      </c>
      <c r="N21" s="405"/>
      <c r="O21" s="406"/>
      <c r="P21" s="406"/>
      <c r="Q21" s="406"/>
    </row>
    <row r="22" spans="1:17" s="187" customFormat="1" x14ac:dyDescent="0.2">
      <c r="F22" s="187">
        <v>18</v>
      </c>
      <c r="H22" s="187">
        <v>32</v>
      </c>
      <c r="I22" s="187">
        <v>18</v>
      </c>
      <c r="N22" s="405"/>
      <c r="O22" s="406"/>
      <c r="P22" s="406"/>
      <c r="Q22" s="406"/>
    </row>
    <row r="23" spans="1:17" s="187" customFormat="1" x14ac:dyDescent="0.2">
      <c r="A23" s="484" t="s">
        <v>526</v>
      </c>
      <c r="N23" s="405"/>
      <c r="O23" s="406"/>
      <c r="P23" s="406"/>
      <c r="Q23" s="406"/>
    </row>
    <row r="24" spans="1:17" s="187" customFormat="1" x14ac:dyDescent="0.2">
      <c r="A24" s="468">
        <v>5</v>
      </c>
      <c r="B24" s="34">
        <f>IF($A24&gt;=B$8+1,"",A24*24/B$21)</f>
        <v>1.8315018315018312</v>
      </c>
      <c r="C24" s="34">
        <f t="shared" ref="C24:E28" si="2">IF($A24&gt;=C$8+1,"",$A24*24/C$21)</f>
        <v>1.059378145028868</v>
      </c>
      <c r="D24" s="34">
        <f t="shared" si="2"/>
        <v>0.765210471140087</v>
      </c>
      <c r="E24" s="34">
        <f t="shared" si="2"/>
        <v>1.0700909577314071</v>
      </c>
      <c r="F24" s="485" t="s">
        <v>270</v>
      </c>
      <c r="G24" s="485" t="s">
        <v>270</v>
      </c>
      <c r="H24" s="485" t="s">
        <v>270</v>
      </c>
      <c r="I24" s="485" t="s">
        <v>270</v>
      </c>
      <c r="J24" s="485" t="s">
        <v>270</v>
      </c>
      <c r="N24" s="405"/>
      <c r="O24" s="406"/>
      <c r="P24" s="406"/>
      <c r="Q24" s="406"/>
    </row>
    <row r="25" spans="1:17" s="187" customFormat="1" x14ac:dyDescent="0.2">
      <c r="A25" s="468">
        <v>10</v>
      </c>
      <c r="B25" s="34">
        <f>IF($A25&gt;=B$8+1,"",A25*24/B$21)</f>
        <v>3.6630036630036624</v>
      </c>
      <c r="C25" s="34">
        <f t="shared" si="2"/>
        <v>2.1187562900577359</v>
      </c>
      <c r="D25" s="34">
        <f t="shared" si="2"/>
        <v>1.530420942280174</v>
      </c>
      <c r="E25" s="34">
        <f t="shared" si="2"/>
        <v>2.1401819154628141</v>
      </c>
      <c r="F25" s="485" t="s">
        <v>270</v>
      </c>
      <c r="G25" s="485" t="s">
        <v>270</v>
      </c>
      <c r="H25" s="485" t="s">
        <v>270</v>
      </c>
      <c r="I25" s="485" t="s">
        <v>270</v>
      </c>
      <c r="J25" s="485" t="s">
        <v>270</v>
      </c>
      <c r="N25" s="405"/>
      <c r="O25" s="406"/>
      <c r="P25" s="406"/>
      <c r="Q25" s="406"/>
    </row>
    <row r="26" spans="1:17" s="187" customFormat="1" x14ac:dyDescent="0.2">
      <c r="A26" s="488">
        <v>15</v>
      </c>
      <c r="B26" s="34">
        <f>IF($A26&gt;=B$8+1,"",A26*24/B$21)</f>
        <v>5.4945054945054936</v>
      </c>
      <c r="C26" s="34">
        <f t="shared" si="2"/>
        <v>3.1781344350866041</v>
      </c>
      <c r="D26" s="34">
        <f t="shared" si="2"/>
        <v>2.2956314134202613</v>
      </c>
      <c r="E26" s="34">
        <f t="shared" si="2"/>
        <v>3.2102728731942216</v>
      </c>
      <c r="F26" s="485" t="s">
        <v>270</v>
      </c>
      <c r="G26" s="485" t="s">
        <v>270</v>
      </c>
      <c r="H26" s="485" t="s">
        <v>270</v>
      </c>
      <c r="I26" s="485" t="s">
        <v>270</v>
      </c>
      <c r="J26" s="485" t="s">
        <v>270</v>
      </c>
      <c r="N26" s="405"/>
      <c r="O26" s="406"/>
      <c r="P26" s="406"/>
      <c r="Q26" s="406"/>
    </row>
    <row r="27" spans="1:17" s="187" customFormat="1" x14ac:dyDescent="0.2">
      <c r="A27" s="468">
        <v>20</v>
      </c>
      <c r="B27" s="34" t="str">
        <f>IF($A27&gt;=B$8+1,"",A27*24/B$21)</f>
        <v/>
      </c>
      <c r="C27" s="34">
        <f t="shared" si="2"/>
        <v>4.2375125801154718</v>
      </c>
      <c r="D27" s="34">
        <f t="shared" si="2"/>
        <v>3.060841884560348</v>
      </c>
      <c r="E27" s="34">
        <f t="shared" si="2"/>
        <v>4.2803638309256282</v>
      </c>
      <c r="F27" s="486" t="s">
        <v>270</v>
      </c>
      <c r="G27" s="486" t="s">
        <v>270</v>
      </c>
      <c r="H27" s="486" t="s">
        <v>270</v>
      </c>
      <c r="I27" s="486" t="s">
        <v>270</v>
      </c>
      <c r="J27" s="486" t="s">
        <v>270</v>
      </c>
      <c r="N27" s="405"/>
      <c r="O27" s="406"/>
      <c r="P27" s="406"/>
      <c r="Q27" s="406"/>
    </row>
    <row r="28" spans="1:17" s="187" customFormat="1" x14ac:dyDescent="0.2">
      <c r="A28" s="468">
        <v>25</v>
      </c>
      <c r="B28" s="34" t="str">
        <f>IF($A28&gt;=B$8+1,"",A28*24/B$21)</f>
        <v/>
      </c>
      <c r="C28" s="34" t="str">
        <f t="shared" si="2"/>
        <v/>
      </c>
      <c r="D28" s="34">
        <f t="shared" si="2"/>
        <v>3.8260523557004351</v>
      </c>
      <c r="E28" s="34">
        <f t="shared" si="2"/>
        <v>5.3504547886570357</v>
      </c>
      <c r="F28" s="485" t="s">
        <v>270</v>
      </c>
      <c r="G28" s="485" t="s">
        <v>270</v>
      </c>
      <c r="H28" s="485" t="s">
        <v>270</v>
      </c>
      <c r="I28" s="485" t="s">
        <v>270</v>
      </c>
      <c r="J28" s="485" t="s">
        <v>270</v>
      </c>
      <c r="N28" s="405"/>
      <c r="O28" s="406"/>
      <c r="P28" s="406"/>
      <c r="Q28" s="406"/>
    </row>
    <row r="29" spans="1:17" s="187" customFormat="1" x14ac:dyDescent="0.2">
      <c r="A29" s="405"/>
      <c r="N29" s="405"/>
      <c r="O29" s="406"/>
      <c r="P29" s="406"/>
      <c r="Q29" s="406"/>
    </row>
    <row r="30" spans="1:17" s="187" customFormat="1" x14ac:dyDescent="0.2">
      <c r="A30" s="405"/>
      <c r="N30" s="405"/>
      <c r="O30" s="406"/>
      <c r="P30" s="406"/>
      <c r="Q30" s="406"/>
    </row>
    <row r="31" spans="1:17" s="187" customFormat="1" x14ac:dyDescent="0.2">
      <c r="A31" s="405"/>
      <c r="N31" s="405"/>
      <c r="O31" s="406"/>
      <c r="P31" s="406"/>
      <c r="Q31" s="406"/>
    </row>
    <row r="33" spans="1:17" ht="15" x14ac:dyDescent="0.25">
      <c r="A33" s="400" t="s">
        <v>574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</row>
    <row r="34" spans="1:17" ht="13.5" thickBot="1" x14ac:dyDescent="0.25"/>
    <row r="35" spans="1:17" s="187" customFormat="1" ht="13.5" thickBot="1" x14ac:dyDescent="0.25">
      <c r="B35" s="68" t="s">
        <v>718</v>
      </c>
      <c r="C35" s="187" t="str">
        <f>'BdD Bâtiment'!$J$86</f>
        <v>CBI GS (tirage naturel)</v>
      </c>
      <c r="H35" s="579" t="s">
        <v>682</v>
      </c>
      <c r="I35" s="580"/>
      <c r="J35" s="407" t="str">
        <f>C36</f>
        <v>CBI 20 GS</v>
      </c>
    </row>
    <row r="36" spans="1:17" s="187" customFormat="1" ht="13.5" thickBot="1" x14ac:dyDescent="0.25">
      <c r="B36" s="68" t="s">
        <v>719</v>
      </c>
      <c r="C36" s="187" t="str">
        <f>Données!$C$62</f>
        <v>CBI 20 GS</v>
      </c>
      <c r="H36" s="579" t="s">
        <v>678</v>
      </c>
      <c r="I36" s="580"/>
      <c r="J36" s="503">
        <f>HLOOKUP($J$35,$D$39:$F$41,2,FALSE)</f>
        <v>20</v>
      </c>
    </row>
    <row r="37" spans="1:17" s="187" customFormat="1" ht="13.5" thickBot="1" x14ac:dyDescent="0.25">
      <c r="H37" s="586" t="s">
        <v>352</v>
      </c>
      <c r="I37" s="580"/>
      <c r="J37" s="503">
        <f>HLOOKUP($J$35,$D$39:$F$52,13,FALSE)</f>
        <v>0.89900000000000002</v>
      </c>
    </row>
    <row r="38" spans="1:17" ht="13.5" thickBot="1" x14ac:dyDescent="0.25">
      <c r="H38" s="579" t="s">
        <v>683</v>
      </c>
      <c r="I38" s="580"/>
      <c r="J38" s="503">
        <f>HLOOKUP($J$35,$D$39:$F$41,3,FALSE)</f>
        <v>113.274</v>
      </c>
    </row>
    <row r="39" spans="1:17" ht="13.5" thickBot="1" x14ac:dyDescent="0.25">
      <c r="C39" s="473" t="s">
        <v>720</v>
      </c>
      <c r="D39" s="31" t="str">
        <f>IF($C$35=$B$6,$B$7,IF($C$35=$C$6,$C$7,IF($C$35=$E$6,$E$7,IF($C$35=$F$6,$F$7,IF($C$35=$I$6,$I$7,"")))))</f>
        <v>CBI 20 GS</v>
      </c>
      <c r="E39" s="31" t="str">
        <f>IF($C$35=$B$6,"",IF($C$35=$C$6,$D$7,IF($C$35=$E$6,"",IF($C$35=$F$6,$G$7,IF($C$35=$I$6,$J$7,"")))))</f>
        <v>CBI 32 GS</v>
      </c>
      <c r="F39" s="31" t="str">
        <f>IF($C$35=$B$6,"",IF($C$35=$C$6,"",IF($C$35=$E$6,"",IF($C$35=$F$6,$H$7,IF($C$35=$I$6,"","")))))</f>
        <v/>
      </c>
      <c r="G39" s="472"/>
      <c r="H39" s="586" t="s">
        <v>723</v>
      </c>
      <c r="I39" s="580"/>
      <c r="J39" s="503">
        <f>HLOOKUP($J$35,$B$7:$J$21,13,FALSE)</f>
        <v>1000</v>
      </c>
    </row>
    <row r="40" spans="1:17" s="187" customFormat="1" x14ac:dyDescent="0.2">
      <c r="C40" s="473" t="s">
        <v>704</v>
      </c>
      <c r="D40" s="31">
        <f>IFERROR(HLOOKUP(D$39,$B$7:$J$21,2,FALSE),"")</f>
        <v>20</v>
      </c>
      <c r="E40" s="31">
        <f>IFERROR(HLOOKUP(E$39,$B$7:$J$21,2,FALSE),"")</f>
        <v>35</v>
      </c>
      <c r="F40" s="31" t="str">
        <f>IFERROR(HLOOKUP(F$39,$B$7:$J$21,2,FALSE),"")</f>
        <v/>
      </c>
      <c r="G40" s="472"/>
      <c r="H40" s="119"/>
      <c r="I40" s="119"/>
    </row>
    <row r="41" spans="1:17" x14ac:dyDescent="0.2">
      <c r="C41" s="500" t="s">
        <v>721</v>
      </c>
      <c r="D41" s="122">
        <f>IFERROR(HLOOKUP(D$39,$B$7:$J$21,15,FALSE),"")</f>
        <v>113.274</v>
      </c>
      <c r="E41" s="122">
        <f>IFERROR(HLOOKUP(E$39,$B$7:$J$21,15,FALSE),"")</f>
        <v>156.81960000000001</v>
      </c>
      <c r="F41" s="122">
        <f>IFERROR(HLOOKUP(F$39,$B$7:$J$21,15,FALSE),"")</f>
        <v>275.70599999999996</v>
      </c>
      <c r="G41" s="474"/>
      <c r="H41" s="405"/>
      <c r="I41" s="405"/>
    </row>
    <row r="42" spans="1:17" x14ac:dyDescent="0.2">
      <c r="A42" s="68" t="s">
        <v>496</v>
      </c>
      <c r="B42">
        <f>Deper</f>
        <v>9.5</v>
      </c>
      <c r="C42" s="117">
        <f>Deper*24</f>
        <v>228</v>
      </c>
      <c r="D42" s="34">
        <f t="shared" ref="D42:F46" si="3">IFERROR(IF(OR($C$35=$F$6,$C$35=$I$6),"-",IF($B42&gt;D$47,CONCATENATE(ROUND(D$50,0)," + A"),$C42/D$41)),"")</f>
        <v>2.0128184755548495</v>
      </c>
      <c r="E42" s="34">
        <f t="shared" si="3"/>
        <v>1.4538998951661655</v>
      </c>
      <c r="F42" s="34">
        <f t="shared" si="3"/>
        <v>0.82696785706513476</v>
      </c>
      <c r="G42" s="495"/>
      <c r="H42" s="496"/>
      <c r="I42" s="496"/>
    </row>
    <row r="43" spans="1:17" x14ac:dyDescent="0.2">
      <c r="A43" s="501">
        <v>0.75</v>
      </c>
      <c r="B43">
        <f>0.75*B42</f>
        <v>7.125</v>
      </c>
      <c r="C43" s="117">
        <f>0.75*Deper*24</f>
        <v>171</v>
      </c>
      <c r="D43" s="34">
        <f t="shared" si="3"/>
        <v>1.509613856666137</v>
      </c>
      <c r="E43" s="34">
        <f t="shared" si="3"/>
        <v>1.090424921374624</v>
      </c>
      <c r="F43" s="34">
        <f t="shared" si="3"/>
        <v>0.62022589279885099</v>
      </c>
      <c r="G43" s="498"/>
      <c r="H43" s="406"/>
      <c r="I43" s="406"/>
    </row>
    <row r="44" spans="1:17" x14ac:dyDescent="0.2">
      <c r="A44" s="501">
        <v>0.5</v>
      </c>
      <c r="B44">
        <f>0.5*B42</f>
        <v>4.75</v>
      </c>
      <c r="C44" s="117">
        <f>0.5*Deper*24</f>
        <v>114</v>
      </c>
      <c r="D44" s="34">
        <f t="shared" si="3"/>
        <v>1.0064092377774247</v>
      </c>
      <c r="E44" s="34">
        <f t="shared" si="3"/>
        <v>0.72694994758308273</v>
      </c>
      <c r="F44" s="34">
        <f t="shared" si="3"/>
        <v>0.41348392853256738</v>
      </c>
      <c r="G44" s="498"/>
      <c r="H44" s="406"/>
      <c r="I44" s="406"/>
    </row>
    <row r="45" spans="1:17" x14ac:dyDescent="0.2">
      <c r="A45" s="501">
        <v>0.35</v>
      </c>
      <c r="B45">
        <f>0.35*B42</f>
        <v>3.3249999999999997</v>
      </c>
      <c r="C45" s="117">
        <f>0.35*Deper*24</f>
        <v>79.8</v>
      </c>
      <c r="D45" s="34">
        <f t="shared" si="3"/>
        <v>0.70448646644419721</v>
      </c>
      <c r="E45" s="34">
        <f t="shared" si="3"/>
        <v>0.50886496330815789</v>
      </c>
      <c r="F45" s="34">
        <f t="shared" si="3"/>
        <v>0.28943874997279712</v>
      </c>
      <c r="G45" s="498"/>
      <c r="H45" s="406"/>
      <c r="I45" s="406"/>
    </row>
    <row r="46" spans="1:17" x14ac:dyDescent="0.2">
      <c r="A46" s="501">
        <v>0.25</v>
      </c>
      <c r="B46">
        <f>0.25*B42</f>
        <v>2.375</v>
      </c>
      <c r="C46" s="117">
        <f>0.25*Deper*24</f>
        <v>57</v>
      </c>
      <c r="D46" s="34">
        <f t="shared" si="3"/>
        <v>0.50320461888871237</v>
      </c>
      <c r="E46" s="34">
        <f t="shared" si="3"/>
        <v>0.36347497379154137</v>
      </c>
      <c r="F46" s="34">
        <f t="shared" si="3"/>
        <v>0.20674196426628369</v>
      </c>
      <c r="G46" s="498"/>
      <c r="H46" s="406"/>
      <c r="I46" s="406"/>
    </row>
    <row r="47" spans="1:17" x14ac:dyDescent="0.2">
      <c r="C47" s="117"/>
      <c r="D47" s="31">
        <f>D40</f>
        <v>20</v>
      </c>
      <c r="E47" s="31">
        <f t="shared" ref="E47:F47" si="4">E40</f>
        <v>35</v>
      </c>
      <c r="F47" s="31" t="str">
        <f t="shared" si="4"/>
        <v/>
      </c>
      <c r="G47" s="472"/>
      <c r="H47" s="119"/>
      <c r="I47" s="119"/>
    </row>
    <row r="48" spans="1:17" x14ac:dyDescent="0.2">
      <c r="C48" s="117" t="s">
        <v>525</v>
      </c>
      <c r="D48" s="397">
        <f>IFERROR(((D47-Deper)^2)^0.5,"")</f>
        <v>10.5</v>
      </c>
      <c r="E48" s="397">
        <f>IFERROR(((E47-Deper)^2)^0.5,"")</f>
        <v>25.5</v>
      </c>
      <c r="F48" s="397" t="str">
        <f>IFERROR(((F47-Deper)^2)^0.5,"")</f>
        <v/>
      </c>
      <c r="G48" s="495"/>
      <c r="H48" s="496"/>
      <c r="I48" s="496"/>
    </row>
    <row r="49" spans="1:16" x14ac:dyDescent="0.2">
      <c r="C49" s="121">
        <f>MIN(D48:F48)</f>
        <v>10.5</v>
      </c>
      <c r="D49" s="31">
        <f>IF($C$49=D48,1,0)</f>
        <v>1</v>
      </c>
      <c r="E49" s="31">
        <f>IF($C$49=E48,1,0)</f>
        <v>0</v>
      </c>
      <c r="F49" s="31">
        <f>IF($C$49=F48,1,0)</f>
        <v>0</v>
      </c>
      <c r="G49" s="472"/>
      <c r="H49" s="119"/>
      <c r="I49" s="119"/>
    </row>
    <row r="50" spans="1:16" x14ac:dyDescent="0.2">
      <c r="D50" s="34">
        <f>IFERROR(D40*24/D41,"")</f>
        <v>4.2375125801154718</v>
      </c>
      <c r="E50" s="34">
        <f t="shared" ref="E50:F50" si="5">IFERROR(E40*24/E41,"")</f>
        <v>5.3564732979806093</v>
      </c>
      <c r="F50" s="34" t="str">
        <f t="shared" si="5"/>
        <v/>
      </c>
      <c r="G50" s="498"/>
      <c r="H50" s="406"/>
      <c r="I50" s="406"/>
    </row>
    <row r="51" spans="1:16" x14ac:dyDescent="0.2">
      <c r="D51" s="118">
        <f>IFERROR(HLOOKUP(D$39,$B$7:$J$21,3,FALSE),"")</f>
        <v>0.89900000000000002</v>
      </c>
      <c r="E51" s="118">
        <f>IFERROR(HLOOKUP(E$39,$B$7:$J$21,3,FALSE),"")</f>
        <v>0.88900000000000001</v>
      </c>
      <c r="F51" s="118">
        <f>IFERROR(HLOOKUP(F$39,$B$7:$J$21,3,FALSE),"")</f>
        <v>0.90099999999999991</v>
      </c>
      <c r="G51" s="477"/>
      <c r="H51" s="482"/>
      <c r="I51" s="482"/>
    </row>
    <row r="52" spans="1:16" x14ac:dyDescent="0.2">
      <c r="D52" s="502">
        <f>D41</f>
        <v>113.274</v>
      </c>
      <c r="E52" s="502">
        <f t="shared" ref="E52:F52" si="6">E41</f>
        <v>156.81960000000001</v>
      </c>
      <c r="F52" s="502">
        <f t="shared" si="6"/>
        <v>275.70599999999996</v>
      </c>
      <c r="G52" s="499"/>
      <c r="H52" s="497"/>
      <c r="I52" s="497"/>
    </row>
    <row r="54" spans="1:16" x14ac:dyDescent="0.2">
      <c r="D54" s="119"/>
    </row>
    <row r="56" spans="1:16" ht="18" x14ac:dyDescent="0.25">
      <c r="A56" s="401" t="s">
        <v>681</v>
      </c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</row>
    <row r="57" spans="1:16" ht="13.5" thickBot="1" x14ac:dyDescent="0.25"/>
    <row r="58" spans="1:16" x14ac:dyDescent="0.2">
      <c r="B58" s="577" t="s">
        <v>684</v>
      </c>
      <c r="C58" s="578"/>
      <c r="E58" s="509" t="s">
        <v>724</v>
      </c>
    </row>
    <row r="59" spans="1:16" ht="13.5" thickBot="1" x14ac:dyDescent="0.25">
      <c r="B59" s="402">
        <v>900</v>
      </c>
      <c r="C59" s="357" t="s">
        <v>557</v>
      </c>
      <c r="E59" s="408">
        <f>J39</f>
        <v>1000</v>
      </c>
    </row>
    <row r="60" spans="1:16" x14ac:dyDescent="0.2">
      <c r="B60" s="402">
        <v>1400</v>
      </c>
      <c r="C60" s="357" t="s">
        <v>558</v>
      </c>
      <c r="E60" s="509" t="s">
        <v>677</v>
      </c>
    </row>
    <row r="61" spans="1:16" ht="13.5" thickBot="1" x14ac:dyDescent="0.25">
      <c r="B61" s="402">
        <v>1400</v>
      </c>
      <c r="C61" s="357" t="s">
        <v>558</v>
      </c>
      <c r="E61" s="408" t="str">
        <f>VLOOKUP($E$59,BTamp,2,TRUE)</f>
        <v>PS 1000-2</v>
      </c>
    </row>
    <row r="62" spans="1:16" x14ac:dyDescent="0.2">
      <c r="B62" s="402">
        <v>600</v>
      </c>
      <c r="C62" s="357" t="s">
        <v>561</v>
      </c>
    </row>
    <row r="63" spans="1:16" x14ac:dyDescent="0.2">
      <c r="B63" s="402">
        <v>900</v>
      </c>
      <c r="C63" s="357" t="s">
        <v>557</v>
      </c>
    </row>
    <row r="64" spans="1:16" x14ac:dyDescent="0.2">
      <c r="B64" s="402">
        <v>1100</v>
      </c>
      <c r="C64" s="357" t="s">
        <v>558</v>
      </c>
    </row>
    <row r="65" spans="2:3" x14ac:dyDescent="0.2">
      <c r="B65" s="402">
        <v>1300</v>
      </c>
      <c r="C65" s="357" t="s">
        <v>558</v>
      </c>
    </row>
    <row r="66" spans="2:3" x14ac:dyDescent="0.2">
      <c r="B66" s="402">
        <v>1600</v>
      </c>
      <c r="C66" s="357" t="s">
        <v>559</v>
      </c>
    </row>
    <row r="67" spans="2:3" x14ac:dyDescent="0.2">
      <c r="B67" s="402">
        <v>1800</v>
      </c>
      <c r="C67" s="357" t="s">
        <v>559</v>
      </c>
    </row>
    <row r="68" spans="2:3" x14ac:dyDescent="0.2">
      <c r="B68" s="402">
        <v>1100</v>
      </c>
      <c r="C68" s="357" t="s">
        <v>558</v>
      </c>
    </row>
    <row r="69" spans="2:3" x14ac:dyDescent="0.2">
      <c r="B69" s="402">
        <v>1600</v>
      </c>
      <c r="C69" s="357" t="s">
        <v>559</v>
      </c>
    </row>
    <row r="70" spans="2:3" ht="13.5" thickBot="1" x14ac:dyDescent="0.25">
      <c r="B70" s="403">
        <v>2100</v>
      </c>
      <c r="C70" s="404" t="s">
        <v>560</v>
      </c>
    </row>
  </sheetData>
  <mergeCells count="10">
    <mergeCell ref="A1:Q2"/>
    <mergeCell ref="B58:C58"/>
    <mergeCell ref="H35:I35"/>
    <mergeCell ref="H36:I36"/>
    <mergeCell ref="H38:I38"/>
    <mergeCell ref="C6:D6"/>
    <mergeCell ref="F6:H6"/>
    <mergeCell ref="I6:J6"/>
    <mergeCell ref="H37:I37"/>
    <mergeCell ref="H39:I39"/>
  </mergeCells>
  <phoneticPr fontId="3" type="noConversion"/>
  <printOptions horizontalCentered="1" verticalCentered="1"/>
  <pageMargins left="0.15748031496062992" right="0.15748031496062992" top="0.39370078740157483" bottom="0.47244094488188981" header="0.27559055118110237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6"/>
  <dimension ref="A1:L147"/>
  <sheetViews>
    <sheetView topLeftCell="A136" zoomScaleNormal="100" workbookViewId="0">
      <selection activeCell="D138" sqref="D138"/>
    </sheetView>
  </sheetViews>
  <sheetFormatPr baseColWidth="10" defaultRowHeight="12.75" x14ac:dyDescent="0.2"/>
  <cols>
    <col min="1" max="1" width="20.7109375" customWidth="1"/>
    <col min="2" max="2" width="37" bestFit="1" customWidth="1"/>
    <col min="3" max="11" width="20.7109375" customWidth="1"/>
    <col min="22" max="22" width="15.7109375" bestFit="1" customWidth="1"/>
    <col min="41" max="41" width="19" bestFit="1" customWidth="1"/>
  </cols>
  <sheetData>
    <row r="1" spans="1:12" s="187" customFormat="1" x14ac:dyDescent="0.2"/>
    <row r="2" spans="1:12" s="187" customFormat="1" x14ac:dyDescent="0.2">
      <c r="A2" s="161"/>
      <c r="B2" s="162" t="s">
        <v>607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</row>
    <row r="3" spans="1:12" s="187" customFormat="1" x14ac:dyDescent="0.2"/>
    <row r="4" spans="1:12" s="187" customFormat="1" x14ac:dyDescent="0.2"/>
    <row r="5" spans="1:12" s="223" customFormat="1" ht="38.25" x14ac:dyDescent="0.2">
      <c r="B5" s="224" t="s">
        <v>538</v>
      </c>
      <c r="C5" s="225"/>
      <c r="D5" s="225" t="s">
        <v>350</v>
      </c>
      <c r="E5" s="225" t="s">
        <v>352</v>
      </c>
      <c r="F5" s="225" t="s">
        <v>107</v>
      </c>
      <c r="G5" s="222" t="s">
        <v>109</v>
      </c>
      <c r="H5" s="226" t="s">
        <v>609</v>
      </c>
    </row>
    <row r="6" spans="1:12" x14ac:dyDescent="0.2">
      <c r="B6" s="200" t="s">
        <v>271</v>
      </c>
      <c r="C6" s="191">
        <v>1</v>
      </c>
      <c r="D6" s="191">
        <f>VLOOKUP(Données!C57,'Consommations et côuts de prod'!B6:C12,2,FALSE)</f>
        <v>6</v>
      </c>
      <c r="E6" s="191">
        <v>1</v>
      </c>
      <c r="F6" s="191">
        <f>VLOOKUP(Données!C57,'Consommations et côuts de prod'!B6:E12,4,FALSE)</f>
        <v>1.05</v>
      </c>
      <c r="G6" s="266">
        <f>'Coûts énergies'!H15/3+2/3*'Coûts énergies'!H14</f>
        <v>16.329999999999998</v>
      </c>
      <c r="H6" s="151">
        <f>VLOOKUP(Données!C57,'Consommations et côuts de prod'!B6:G12,6,FALSE)</f>
        <v>6.3</v>
      </c>
    </row>
    <row r="7" spans="1:12" x14ac:dyDescent="0.2">
      <c r="B7" s="253" t="s">
        <v>616</v>
      </c>
      <c r="C7" s="191">
        <v>2</v>
      </c>
      <c r="D7" s="191"/>
      <c r="E7" s="191">
        <v>1.02</v>
      </c>
      <c r="F7" s="191"/>
      <c r="G7" s="191">
        <f>'Coûts énergies'!D40</f>
        <v>9.66</v>
      </c>
      <c r="H7" s="151"/>
    </row>
    <row r="8" spans="1:12" x14ac:dyDescent="0.2">
      <c r="B8" s="253" t="s">
        <v>617</v>
      </c>
      <c r="C8" s="191">
        <v>3</v>
      </c>
      <c r="D8" s="191"/>
      <c r="E8" s="191">
        <v>1.05</v>
      </c>
      <c r="F8" s="191"/>
      <c r="G8" s="191">
        <f>'Coûts énergies'!D32/0.9</f>
        <v>5.5555555555555554</v>
      </c>
      <c r="H8" s="151"/>
    </row>
    <row r="9" spans="1:12" x14ac:dyDescent="0.2">
      <c r="B9" s="253" t="s">
        <v>618</v>
      </c>
      <c r="C9" s="191">
        <v>4</v>
      </c>
      <c r="D9" s="191"/>
      <c r="E9" s="191">
        <v>1.03</v>
      </c>
      <c r="F9" s="191"/>
      <c r="G9" s="191">
        <f>'Coûts énergies'!D48</f>
        <v>14.61</v>
      </c>
      <c r="H9" s="151"/>
    </row>
    <row r="10" spans="1:12" x14ac:dyDescent="0.2">
      <c r="B10" s="200" t="s">
        <v>116</v>
      </c>
      <c r="C10" s="191">
        <v>5</v>
      </c>
      <c r="D10" s="191"/>
      <c r="E10" s="191">
        <f>'BdD Bâtiment'!$L$17</f>
        <v>0.8</v>
      </c>
      <c r="F10" s="191"/>
      <c r="G10" s="191">
        <f>K114*100</f>
        <v>9.66</v>
      </c>
      <c r="H10" s="151"/>
    </row>
    <row r="11" spans="1:12" x14ac:dyDescent="0.2">
      <c r="B11" s="200" t="s">
        <v>359</v>
      </c>
      <c r="C11" s="191">
        <v>6</v>
      </c>
      <c r="D11" s="191"/>
      <c r="E11" s="191">
        <f>'BdD Bâtiment'!G78</f>
        <v>1.05</v>
      </c>
      <c r="F11" s="191"/>
      <c r="G11" s="191">
        <f>'BdD Bâtiment'!$I$78</f>
        <v>6.3</v>
      </c>
      <c r="H11" s="151"/>
    </row>
    <row r="12" spans="1:12" x14ac:dyDescent="0.2">
      <c r="B12" s="201" t="s">
        <v>531</v>
      </c>
      <c r="C12" s="153">
        <v>7</v>
      </c>
      <c r="D12" s="153"/>
      <c r="E12" s="153">
        <f>'BdD Bâtiment'!C81</f>
        <v>0.89900000000000002</v>
      </c>
      <c r="F12" s="153"/>
      <c r="G12" s="265">
        <f>'Coûts énergies'!D56/1800*100</f>
        <v>3.8888888888888888</v>
      </c>
      <c r="H12" s="154"/>
      <c r="J12" s="143" t="s">
        <v>619</v>
      </c>
    </row>
    <row r="16" spans="1:12" x14ac:dyDescent="0.2">
      <c r="A16" s="161"/>
      <c r="B16" s="162" t="s">
        <v>610</v>
      </c>
      <c r="C16" s="161"/>
      <c r="D16" s="161"/>
      <c r="E16" s="161"/>
      <c r="F16" s="161"/>
      <c r="G16" s="161"/>
      <c r="H16" s="161"/>
      <c r="I16" s="161"/>
      <c r="J16" s="161"/>
      <c r="K16" s="161"/>
      <c r="L16" s="161"/>
    </row>
    <row r="19" spans="1:8" x14ac:dyDescent="0.2">
      <c r="A19" s="587" t="s">
        <v>111</v>
      </c>
      <c r="B19" s="229" t="s">
        <v>341</v>
      </c>
      <c r="C19" s="334">
        <f>Résultats!$BI$24</f>
        <v>15296.388300000001</v>
      </c>
      <c r="D19" s="231" t="s">
        <v>342</v>
      </c>
    </row>
    <row r="20" spans="1:8" x14ac:dyDescent="0.2">
      <c r="A20" s="588"/>
      <c r="B20" s="227" t="s">
        <v>201</v>
      </c>
      <c r="C20" s="352">
        <f>C19-C21</f>
        <v>0</v>
      </c>
      <c r="D20" s="215" t="s">
        <v>342</v>
      </c>
    </row>
    <row r="21" spans="1:8" x14ac:dyDescent="0.2">
      <c r="A21" s="588"/>
      <c r="B21" s="229" t="s">
        <v>202</v>
      </c>
      <c r="C21" s="334">
        <f>Résultats!$BI$25</f>
        <v>15296.388300000001</v>
      </c>
      <c r="D21" s="231" t="s">
        <v>342</v>
      </c>
    </row>
    <row r="22" spans="1:8" x14ac:dyDescent="0.2">
      <c r="A22" s="588"/>
      <c r="B22" s="232" t="s">
        <v>611</v>
      </c>
      <c r="C22" s="148">
        <f>EBois</f>
        <v>14536.29883436105</v>
      </c>
      <c r="D22" s="233" t="s">
        <v>342</v>
      </c>
    </row>
    <row r="23" spans="1:8" x14ac:dyDescent="0.2">
      <c r="A23" s="588"/>
      <c r="B23" s="234" t="s">
        <v>612</v>
      </c>
      <c r="C23" s="240">
        <f>C22/C21</f>
        <v>0.95030922001117413</v>
      </c>
      <c r="D23" s="236"/>
    </row>
    <row r="24" spans="1:8" x14ac:dyDescent="0.2">
      <c r="A24" s="588"/>
      <c r="B24" s="237" t="s">
        <v>613</v>
      </c>
      <c r="C24" s="191">
        <f>Eappoint</f>
        <v>760.08946563894813</v>
      </c>
      <c r="D24" s="216" t="s">
        <v>342</v>
      </c>
    </row>
    <row r="25" spans="1:8" x14ac:dyDescent="0.2">
      <c r="A25" s="589"/>
      <c r="B25" s="238" t="s">
        <v>614</v>
      </c>
      <c r="C25" s="241">
        <f>C24/C21</f>
        <v>4.9690779988825734E-2</v>
      </c>
      <c r="D25" s="239"/>
    </row>
    <row r="26" spans="1:8" x14ac:dyDescent="0.2">
      <c r="F26" s="252"/>
      <c r="G26" s="214"/>
      <c r="H26" s="214"/>
    </row>
    <row r="27" spans="1:8" x14ac:dyDescent="0.2">
      <c r="A27" s="587" t="s">
        <v>345</v>
      </c>
      <c r="B27" s="242" t="s">
        <v>346</v>
      </c>
      <c r="C27" s="364">
        <f>Résultats!$BI$9</f>
        <v>3813.2099999999996</v>
      </c>
      <c r="D27" s="230" t="s">
        <v>342</v>
      </c>
      <c r="F27" s="214"/>
      <c r="G27" s="214"/>
      <c r="H27" s="214"/>
    </row>
    <row r="28" spans="1:8" x14ac:dyDescent="0.2">
      <c r="A28" s="588"/>
      <c r="B28" s="228" t="s">
        <v>347</v>
      </c>
      <c r="C28" s="365">
        <f>C27-C29</f>
        <v>0</v>
      </c>
      <c r="D28" s="244" t="s">
        <v>342</v>
      </c>
    </row>
    <row r="29" spans="1:8" x14ac:dyDescent="0.2">
      <c r="A29" s="588"/>
      <c r="B29" s="242" t="s">
        <v>620</v>
      </c>
      <c r="C29" s="364">
        <f>Résultats!BI10</f>
        <v>3813.2099999999996</v>
      </c>
      <c r="D29" s="230" t="s">
        <v>342</v>
      </c>
    </row>
    <row r="30" spans="1:8" x14ac:dyDescent="0.2">
      <c r="A30" s="588"/>
      <c r="B30" s="245" t="s">
        <v>611</v>
      </c>
      <c r="C30" s="246">
        <f>Résultats!$BI$16</f>
        <v>3447.7773750000006</v>
      </c>
      <c r="D30" s="247" t="s">
        <v>342</v>
      </c>
    </row>
    <row r="31" spans="1:8" x14ac:dyDescent="0.2">
      <c r="A31" s="588"/>
      <c r="B31" s="172" t="s">
        <v>612</v>
      </c>
      <c r="C31" s="248">
        <f>C30/C29</f>
        <v>0.9041666666666669</v>
      </c>
      <c r="D31" s="249"/>
    </row>
    <row r="32" spans="1:8" x14ac:dyDescent="0.2">
      <c r="A32" s="588"/>
      <c r="B32" s="234" t="s">
        <v>613</v>
      </c>
      <c r="C32" s="235">
        <f>Résultats!$BI$19</f>
        <v>365.43262499999906</v>
      </c>
      <c r="D32" s="236" t="s">
        <v>342</v>
      </c>
    </row>
    <row r="33" spans="1:12" x14ac:dyDescent="0.2">
      <c r="A33" s="589"/>
      <c r="B33" s="250" t="s">
        <v>614</v>
      </c>
      <c r="C33" s="251">
        <f>$C$32/$C$29</f>
        <v>9.5833333333333104E-2</v>
      </c>
      <c r="D33" s="219"/>
    </row>
    <row r="39" spans="1:12" x14ac:dyDescent="0.2">
      <c r="A39" s="161"/>
      <c r="B39" s="162" t="s">
        <v>615</v>
      </c>
      <c r="C39" s="161"/>
      <c r="D39" s="161"/>
      <c r="E39" s="161"/>
      <c r="F39" s="161"/>
      <c r="G39" s="161"/>
      <c r="H39" s="161"/>
      <c r="I39" s="161"/>
      <c r="J39" s="161"/>
      <c r="K39" s="161"/>
      <c r="L39" s="161"/>
    </row>
    <row r="40" spans="1:12" s="190" customFormat="1" x14ac:dyDescent="0.2">
      <c r="B40" s="258"/>
    </row>
    <row r="41" spans="1:12" x14ac:dyDescent="0.2">
      <c r="B41" s="208"/>
      <c r="C41" s="199" t="str">
        <f>C52</f>
        <v>Actuelle</v>
      </c>
      <c r="D41" s="199" t="str">
        <f t="shared" ref="D41:K41" si="0">D52</f>
        <v>BOIS</v>
      </c>
      <c r="E41" s="199" t="str">
        <f t="shared" si="0"/>
        <v>PAC - COP 2,5</v>
      </c>
      <c r="F41" s="199" t="str">
        <f t="shared" si="0"/>
        <v>Gaz condensation</v>
      </c>
      <c r="G41" s="199" t="str">
        <f t="shared" si="0"/>
        <v>Fioul condens.</v>
      </c>
      <c r="H41" s="199" t="str">
        <f t="shared" si="0"/>
        <v>Fioul</v>
      </c>
      <c r="I41" s="199" t="str">
        <f t="shared" si="0"/>
        <v>Electricité</v>
      </c>
      <c r="J41" s="199" t="str">
        <f t="shared" si="0"/>
        <v>Propane</v>
      </c>
      <c r="K41" s="199" t="str">
        <f t="shared" si="0"/>
        <v>propane condens</v>
      </c>
    </row>
    <row r="42" spans="1:12" x14ac:dyDescent="0.2">
      <c r="B42" s="259" t="s">
        <v>624</v>
      </c>
      <c r="C42" s="188">
        <f>'BdD Bâtiment'!H82/100</f>
        <v>9.6600000000000005E-2</v>
      </c>
      <c r="D42" s="260">
        <f>'Coûts énergies'!D56/1800</f>
        <v>3.888888888888889E-2</v>
      </c>
      <c r="E42" s="188">
        <f>'Coûts énergies'!$D$14/100</f>
        <v>0.15460000000000002</v>
      </c>
      <c r="F42" s="188">
        <f>'BdD Bâtiment'!$H$81/100</f>
        <v>6.3E-2</v>
      </c>
      <c r="G42" s="188">
        <f>'BdD Bâtiment'!$H$80/100</f>
        <v>8.2200000000000009E-2</v>
      </c>
      <c r="H42" s="188">
        <f>'BdD Bâtiment'!$H$78/100</f>
        <v>8.2200000000000009E-2</v>
      </c>
      <c r="I42" s="188">
        <f>$E$42</f>
        <v>0.15460000000000002</v>
      </c>
      <c r="J42" s="188">
        <f>'Coûts énergies'!$D$48/100</f>
        <v>0.14610000000000001</v>
      </c>
      <c r="K42" s="188">
        <f>$J$42</f>
        <v>0.14610000000000001</v>
      </c>
    </row>
    <row r="43" spans="1:12" x14ac:dyDescent="0.2">
      <c r="D43" s="190"/>
    </row>
    <row r="44" spans="1:12" x14ac:dyDescent="0.2">
      <c r="B44" s="259" t="s">
        <v>622</v>
      </c>
      <c r="C44" s="188">
        <f>C19</f>
        <v>15296.388300000001</v>
      </c>
      <c r="D44" s="261">
        <f>C21</f>
        <v>15296.388300000001</v>
      </c>
      <c r="E44" s="188">
        <f>$C$19</f>
        <v>15296.388300000001</v>
      </c>
      <c r="F44" s="188">
        <f t="shared" ref="F44:K44" si="1">$C$19</f>
        <v>15296.388300000001</v>
      </c>
      <c r="G44" s="188">
        <f t="shared" si="1"/>
        <v>15296.388300000001</v>
      </c>
      <c r="H44" s="188">
        <f t="shared" si="1"/>
        <v>15296.388300000001</v>
      </c>
      <c r="I44" s="188">
        <f t="shared" si="1"/>
        <v>15296.388300000001</v>
      </c>
      <c r="J44" s="188">
        <f t="shared" si="1"/>
        <v>15296.388300000001</v>
      </c>
      <c r="K44" s="188">
        <f t="shared" si="1"/>
        <v>15296.388300000001</v>
      </c>
    </row>
    <row r="45" spans="1:12" x14ac:dyDescent="0.2">
      <c r="B45" s="259" t="s">
        <v>623</v>
      </c>
      <c r="C45" s="188">
        <f>$C$44/$E$10</f>
        <v>19120.485375</v>
      </c>
      <c r="D45" s="261">
        <f>Résultats!$BI$44+Résultats!$BI$47</f>
        <v>16893.303888647191</v>
      </c>
      <c r="E45" s="188">
        <f>E44/2.5</f>
        <v>6118.5553200000004</v>
      </c>
      <c r="F45" s="188">
        <f>F44/E8</f>
        <v>14567.988857142856</v>
      </c>
      <c r="G45" s="188">
        <f>G44/E7</f>
        <v>14996.459117647059</v>
      </c>
      <c r="H45" s="188">
        <f>H44/0.95</f>
        <v>16101.461368421054</v>
      </c>
      <c r="I45" s="188">
        <f>I44/E6</f>
        <v>15296.388300000001</v>
      </c>
      <c r="J45" s="188">
        <f>J44/0.96</f>
        <v>15933.737812500001</v>
      </c>
      <c r="K45" s="188">
        <f>K44/E9</f>
        <v>14850.862427184466</v>
      </c>
    </row>
    <row r="46" spans="1:12" x14ac:dyDescent="0.2">
      <c r="B46" s="259" t="s">
        <v>675</v>
      </c>
      <c r="C46" s="188">
        <f>C45*C42</f>
        <v>1847.0388872250001</v>
      </c>
      <c r="D46" s="261">
        <f>Résultats!$BI$45+Résultats!$BI$48</f>
        <v>674.41572413984079</v>
      </c>
      <c r="E46" s="188">
        <f t="shared" ref="E46:K46" si="2">E45*E42</f>
        <v>945.92865247200018</v>
      </c>
      <c r="F46" s="188">
        <f t="shared" si="2"/>
        <v>917.78329799999995</v>
      </c>
      <c r="G46" s="188">
        <f t="shared" si="2"/>
        <v>1232.7089394705883</v>
      </c>
      <c r="H46" s="188">
        <f t="shared" si="2"/>
        <v>1323.5401244842108</v>
      </c>
      <c r="I46" s="188">
        <f t="shared" si="2"/>
        <v>2364.8216311800002</v>
      </c>
      <c r="J46" s="188">
        <f t="shared" si="2"/>
        <v>2327.9190944062502</v>
      </c>
      <c r="K46" s="188">
        <f t="shared" si="2"/>
        <v>2169.7110006116504</v>
      </c>
    </row>
    <row r="47" spans="1:12" x14ac:dyDescent="0.2">
      <c r="D47" s="190"/>
    </row>
    <row r="48" spans="1:12" x14ac:dyDescent="0.2">
      <c r="B48" s="262" t="s">
        <v>626</v>
      </c>
      <c r="C48" s="188">
        <f>$C$27</f>
        <v>3813.2099999999996</v>
      </c>
      <c r="D48" s="390">
        <f>$C$29</f>
        <v>3813.2099999999996</v>
      </c>
      <c r="E48" s="188">
        <f>$C$27</f>
        <v>3813.2099999999996</v>
      </c>
      <c r="F48" s="188">
        <f t="shared" ref="F48:K48" si="3">$C$27</f>
        <v>3813.2099999999996</v>
      </c>
      <c r="G48" s="188">
        <f t="shared" si="3"/>
        <v>3813.2099999999996</v>
      </c>
      <c r="H48" s="188">
        <f t="shared" si="3"/>
        <v>3813.2099999999996</v>
      </c>
      <c r="I48" s="188">
        <f t="shared" si="3"/>
        <v>3813.2099999999996</v>
      </c>
      <c r="J48" s="188">
        <f t="shared" si="3"/>
        <v>3813.2099999999996</v>
      </c>
      <c r="K48" s="188">
        <f t="shared" si="3"/>
        <v>3813.2099999999996</v>
      </c>
    </row>
    <row r="49" spans="2:12" x14ac:dyDescent="0.2">
      <c r="B49" s="259" t="s">
        <v>623</v>
      </c>
      <c r="C49" s="188">
        <f>C48/E10</f>
        <v>4766.5124999999989</v>
      </c>
      <c r="D49" s="261">
        <f>Résultats!$BI$17+Résultats!$BI$20</f>
        <v>4183.1560714285706</v>
      </c>
      <c r="E49" s="188">
        <f>E48/2.5</f>
        <v>1525.2839999999999</v>
      </c>
      <c r="F49" s="188">
        <f>F48/E8</f>
        <v>3631.6285714285709</v>
      </c>
      <c r="G49" s="188">
        <f>G48/E7</f>
        <v>3738.4411764705878</v>
      </c>
      <c r="H49" s="188">
        <f>H48/0.95</f>
        <v>4013.9052631578943</v>
      </c>
      <c r="I49" s="188">
        <f>I48/E6</f>
        <v>3813.2099999999996</v>
      </c>
      <c r="J49" s="188">
        <f>J48/0.96</f>
        <v>3972.0937499999995</v>
      </c>
      <c r="K49" s="188">
        <f>K48/E9</f>
        <v>3702.1456310679605</v>
      </c>
    </row>
    <row r="50" spans="2:12" x14ac:dyDescent="0.2">
      <c r="B50" s="259" t="s">
        <v>676</v>
      </c>
      <c r="C50" s="188">
        <f>C49*C42</f>
        <v>460.44510749999989</v>
      </c>
      <c r="D50" s="261">
        <f>Résultats!$BI$18+Résultats!$BI$21</f>
        <v>171.06970749999994</v>
      </c>
      <c r="E50" s="188">
        <f t="shared" ref="E50:K50" si="4">E49*E42</f>
        <v>235.80890640000001</v>
      </c>
      <c r="F50" s="188">
        <f t="shared" si="4"/>
        <v>228.79259999999996</v>
      </c>
      <c r="G50" s="188">
        <f t="shared" si="4"/>
        <v>307.29986470588233</v>
      </c>
      <c r="H50" s="188">
        <f t="shared" si="4"/>
        <v>329.94301263157894</v>
      </c>
      <c r="I50" s="188">
        <f t="shared" si="4"/>
        <v>589.52226599999995</v>
      </c>
      <c r="J50" s="188">
        <f t="shared" si="4"/>
        <v>580.32289687499997</v>
      </c>
      <c r="K50" s="188">
        <f t="shared" si="4"/>
        <v>540.88347669902907</v>
      </c>
    </row>
    <row r="51" spans="2:12" ht="13.5" thickBot="1" x14ac:dyDescent="0.25">
      <c r="D51" s="190"/>
    </row>
    <row r="52" spans="2:12" s="187" customFormat="1" x14ac:dyDescent="0.2">
      <c r="B52" s="331"/>
      <c r="C52" s="353" t="s">
        <v>116</v>
      </c>
      <c r="D52" s="354" t="str">
        <f>IF(Données!$C$46&lt;&gt;'BdD Bâtiment'!$B$65,"BOIS + SOLAIRE","BOIS")</f>
        <v>BOIS</v>
      </c>
      <c r="E52" s="353" t="s">
        <v>625</v>
      </c>
      <c r="F52" s="353" t="s">
        <v>361</v>
      </c>
      <c r="G52" s="353" t="s">
        <v>36</v>
      </c>
      <c r="H52" s="353" t="s">
        <v>337</v>
      </c>
      <c r="I52" s="353" t="s">
        <v>35</v>
      </c>
      <c r="J52" s="353" t="s">
        <v>339</v>
      </c>
      <c r="K52" s="355" t="s">
        <v>121</v>
      </c>
    </row>
    <row r="53" spans="2:12" s="187" customFormat="1" x14ac:dyDescent="0.2">
      <c r="B53" s="356" t="s">
        <v>344</v>
      </c>
      <c r="C53" s="192">
        <f>C46</f>
        <v>1847.0388872250001</v>
      </c>
      <c r="D53" s="363">
        <f t="shared" ref="D53:K53" si="5">D46</f>
        <v>674.41572413984079</v>
      </c>
      <c r="E53" s="192">
        <f t="shared" si="5"/>
        <v>945.92865247200018</v>
      </c>
      <c r="F53" s="192">
        <f t="shared" si="5"/>
        <v>917.78329799999995</v>
      </c>
      <c r="G53" s="192">
        <f t="shared" si="5"/>
        <v>1232.7089394705883</v>
      </c>
      <c r="H53" s="192">
        <f t="shared" si="5"/>
        <v>1323.5401244842108</v>
      </c>
      <c r="I53" s="192">
        <f t="shared" si="5"/>
        <v>2364.8216311800002</v>
      </c>
      <c r="J53" s="192">
        <f t="shared" si="5"/>
        <v>2327.9190944062502</v>
      </c>
      <c r="K53" s="358">
        <f t="shared" si="5"/>
        <v>2169.7110006116504</v>
      </c>
    </row>
    <row r="54" spans="2:12" s="187" customFormat="1" x14ac:dyDescent="0.2">
      <c r="B54" s="356" t="s">
        <v>348</v>
      </c>
      <c r="C54" s="192">
        <f>C50</f>
        <v>460.44510749999989</v>
      </c>
      <c r="D54" s="363">
        <f t="shared" ref="D54:K54" si="6">D50</f>
        <v>171.06970749999994</v>
      </c>
      <c r="E54" s="192">
        <f t="shared" si="6"/>
        <v>235.80890640000001</v>
      </c>
      <c r="F54" s="192">
        <f t="shared" si="6"/>
        <v>228.79259999999996</v>
      </c>
      <c r="G54" s="192">
        <f t="shared" si="6"/>
        <v>307.29986470588233</v>
      </c>
      <c r="H54" s="192">
        <f t="shared" si="6"/>
        <v>329.94301263157894</v>
      </c>
      <c r="I54" s="192">
        <f t="shared" si="6"/>
        <v>589.52226599999995</v>
      </c>
      <c r="J54" s="192">
        <f t="shared" si="6"/>
        <v>580.32289687499997</v>
      </c>
      <c r="K54" s="358">
        <f t="shared" si="6"/>
        <v>540.88347669902907</v>
      </c>
    </row>
    <row r="55" spans="2:12" s="187" customFormat="1" x14ac:dyDescent="0.2">
      <c r="B55" s="356"/>
      <c r="C55" s="191"/>
      <c r="D55" s="217"/>
      <c r="E55" s="191"/>
      <c r="F55" s="191"/>
      <c r="G55" s="191"/>
      <c r="H55" s="191"/>
      <c r="I55" s="191"/>
      <c r="J55" s="191"/>
      <c r="K55" s="357"/>
    </row>
    <row r="56" spans="2:12" s="187" customFormat="1" ht="13.5" thickBot="1" x14ac:dyDescent="0.25">
      <c r="B56" s="359" t="s">
        <v>349</v>
      </c>
      <c r="C56" s="360">
        <f>SUM(C53:C54)</f>
        <v>2307.4839947249998</v>
      </c>
      <c r="D56" s="361">
        <f>SUM(D53:D54)</f>
        <v>845.48543163984073</v>
      </c>
      <c r="E56" s="360">
        <f>SUM(E53:E54)</f>
        <v>1181.7375588720001</v>
      </c>
      <c r="F56" s="360">
        <f>SUM(F53:F54)+C86</f>
        <v>1395.9358979999997</v>
      </c>
      <c r="G56" s="360">
        <f>SUM(G53:G54)</f>
        <v>1540.0088041764707</v>
      </c>
      <c r="H56" s="360">
        <f>SUM(H53:H54)</f>
        <v>1653.4831371157898</v>
      </c>
      <c r="I56" s="360">
        <f>SUM(I53:I54)</f>
        <v>2954.3438971800001</v>
      </c>
      <c r="J56" s="360">
        <f>J53+J54</f>
        <v>2908.2419912812502</v>
      </c>
      <c r="K56" s="362">
        <f>K53+K54</f>
        <v>2710.5944773106794</v>
      </c>
      <c r="L56" s="191"/>
    </row>
    <row r="57" spans="2:12" s="187" customFormat="1" x14ac:dyDescent="0.2">
      <c r="L57" s="191"/>
    </row>
    <row r="58" spans="2:12" s="187" customFormat="1" x14ac:dyDescent="0.2">
      <c r="L58" s="191"/>
    </row>
    <row r="59" spans="2:12" s="187" customFormat="1" x14ac:dyDescent="0.2">
      <c r="L59" s="191"/>
    </row>
    <row r="60" spans="2:12" s="187" customFormat="1" x14ac:dyDescent="0.2">
      <c r="L60" s="191"/>
    </row>
    <row r="61" spans="2:12" s="187" customFormat="1" x14ac:dyDescent="0.2">
      <c r="L61" s="191"/>
    </row>
    <row r="62" spans="2:12" s="187" customFormat="1" x14ac:dyDescent="0.2">
      <c r="L62" s="191"/>
    </row>
    <row r="63" spans="2:12" s="187" customFormat="1" x14ac:dyDescent="0.2">
      <c r="L63" s="191"/>
    </row>
    <row r="64" spans="2:12" s="187" customFormat="1" x14ac:dyDescent="0.2">
      <c r="L64" s="191"/>
    </row>
    <row r="65" spans="1:12" s="187" customFormat="1" x14ac:dyDescent="0.2">
      <c r="L65" s="191"/>
    </row>
    <row r="66" spans="1:12" s="187" customFormat="1" x14ac:dyDescent="0.2">
      <c r="L66" s="191"/>
    </row>
    <row r="67" spans="1:12" s="187" customFormat="1" x14ac:dyDescent="0.2">
      <c r="L67" s="191"/>
    </row>
    <row r="68" spans="1:12" s="187" customFormat="1" x14ac:dyDescent="0.2">
      <c r="L68" s="191"/>
    </row>
    <row r="69" spans="1:12" s="187" customFormat="1" x14ac:dyDescent="0.2">
      <c r="L69" s="191"/>
    </row>
    <row r="70" spans="1:12" s="187" customFormat="1" x14ac:dyDescent="0.2">
      <c r="L70" s="191"/>
    </row>
    <row r="71" spans="1:12" s="187" customFormat="1" x14ac:dyDescent="0.2">
      <c r="L71" s="191"/>
    </row>
    <row r="72" spans="1:12" s="187" customFormat="1" x14ac:dyDescent="0.2">
      <c r="L72" s="191"/>
    </row>
    <row r="73" spans="1:12" s="187" customFormat="1" x14ac:dyDescent="0.2">
      <c r="L73" s="191"/>
    </row>
    <row r="74" spans="1:12" s="187" customFormat="1" x14ac:dyDescent="0.2">
      <c r="L74" s="191"/>
    </row>
    <row r="75" spans="1:12" s="187" customFormat="1" x14ac:dyDescent="0.2">
      <c r="L75" s="191"/>
    </row>
    <row r="76" spans="1:12" s="187" customFormat="1" x14ac:dyDescent="0.2">
      <c r="A76" s="161"/>
      <c r="B76" s="162" t="s">
        <v>621</v>
      </c>
      <c r="C76" s="161"/>
      <c r="D76" s="161"/>
      <c r="E76" s="161"/>
      <c r="F76" s="161"/>
      <c r="G76" s="161"/>
      <c r="H76" s="161"/>
      <c r="I76" s="161"/>
      <c r="J76" s="161"/>
      <c r="K76" s="161"/>
      <c r="L76" s="254"/>
    </row>
    <row r="77" spans="1:12" s="187" customFormat="1" x14ac:dyDescent="0.2">
      <c r="L77" s="191"/>
    </row>
    <row r="78" spans="1:12" s="187" customFormat="1" x14ac:dyDescent="0.2">
      <c r="L78" s="191"/>
    </row>
    <row r="79" spans="1:12" s="187" customFormat="1" x14ac:dyDescent="0.2">
      <c r="B79" s="156" t="s">
        <v>89</v>
      </c>
      <c r="C79" s="195"/>
      <c r="D79"/>
      <c r="L79" s="191"/>
    </row>
    <row r="80" spans="1:12" s="187" customFormat="1" x14ac:dyDescent="0.2">
      <c r="B80" s="166" t="s">
        <v>338</v>
      </c>
      <c r="C80" s="255">
        <f>IF('BdD Bâtiment'!$F$17='BdD Bâtiment'!$C$18,IF('BdD Bâtiment'!$C$11&gt;250,'Coûts énergies'!$H$33,'Coûts énergies'!$H$32),0)</f>
        <v>0</v>
      </c>
      <c r="D80"/>
      <c r="L80" s="191"/>
    </row>
    <row r="81" spans="2:12" s="187" customFormat="1" x14ac:dyDescent="0.2">
      <c r="B81" s="149" t="s">
        <v>337</v>
      </c>
      <c r="C81" s="151">
        <v>0</v>
      </c>
      <c r="D81"/>
      <c r="L81" s="191"/>
    </row>
    <row r="82" spans="2:12" s="187" customFormat="1" x14ac:dyDescent="0.2">
      <c r="B82" s="152" t="s">
        <v>339</v>
      </c>
      <c r="C82" s="154">
        <v>0</v>
      </c>
      <c r="D82"/>
      <c r="L82" s="191"/>
    </row>
    <row r="83" spans="2:12" s="187" customFormat="1" x14ac:dyDescent="0.2">
      <c r="B83"/>
      <c r="C83"/>
      <c r="D83"/>
      <c r="L83" s="191"/>
    </row>
    <row r="84" spans="2:12" s="187" customFormat="1" x14ac:dyDescent="0.2">
      <c r="B84"/>
      <c r="C84"/>
      <c r="D84"/>
      <c r="L84" s="191"/>
    </row>
    <row r="85" spans="2:12" s="187" customFormat="1" x14ac:dyDescent="0.2">
      <c r="B85" s="156" t="s">
        <v>98</v>
      </c>
      <c r="C85" s="148">
        <f>(C21+C29)/'BdD Bâtiment'!$F$79</f>
        <v>20547.955161290323</v>
      </c>
      <c r="D85" s="195" t="s">
        <v>342</v>
      </c>
      <c r="L85" s="191"/>
    </row>
    <row r="86" spans="2:12" s="187" customFormat="1" x14ac:dyDescent="0.2">
      <c r="B86" s="149" t="s">
        <v>87</v>
      </c>
      <c r="C86" s="191">
        <f>IF(C85&lt;D103,'Coûts énergies'!H32,'Coûts énergies'!H33)</f>
        <v>249.36</v>
      </c>
      <c r="D86" s="151" t="s">
        <v>343</v>
      </c>
      <c r="L86" s="191"/>
    </row>
    <row r="87" spans="2:12" s="187" customFormat="1" x14ac:dyDescent="0.2">
      <c r="B87" s="152" t="s">
        <v>88</v>
      </c>
      <c r="C87" s="153">
        <f>IF(C85&lt;D103,'Coûts énergies'!D32,'Coûts énergies'!D33)/0.9/100</f>
        <v>5.5555555555555552E-2</v>
      </c>
      <c r="D87" s="154" t="s">
        <v>343</v>
      </c>
      <c r="L87" s="191"/>
    </row>
    <row r="88" spans="2:12" s="187" customFormat="1" x14ac:dyDescent="0.2">
      <c r="B88"/>
      <c r="C88"/>
      <c r="D88"/>
      <c r="L88" s="191"/>
    </row>
    <row r="89" spans="2:12" s="187" customFormat="1" x14ac:dyDescent="0.2">
      <c r="B89" s="156" t="s">
        <v>91</v>
      </c>
      <c r="C89" s="148">
        <f>(C21+C29)/'BdD Bâtiment'!$F$81</f>
        <v>18199.61742857143</v>
      </c>
      <c r="D89" s="195" t="s">
        <v>342</v>
      </c>
      <c r="L89" s="191"/>
    </row>
    <row r="90" spans="2:12" s="187" customFormat="1" x14ac:dyDescent="0.2">
      <c r="B90" s="149" t="s">
        <v>87</v>
      </c>
      <c r="C90" s="191">
        <f>IF(C89&lt;D103,'Coûts énergies'!H32,'Coûts énergies'!H33)</f>
        <v>249.36</v>
      </c>
      <c r="D90" s="151" t="s">
        <v>343</v>
      </c>
      <c r="L90" s="191"/>
    </row>
    <row r="91" spans="2:12" s="187" customFormat="1" x14ac:dyDescent="0.2">
      <c r="B91" s="152" t="s">
        <v>88</v>
      </c>
      <c r="C91" s="153">
        <f>IF(C89&lt;D103,'Coûts énergies'!D32,'Coûts énergies'!D33)/0.9/100</f>
        <v>5.5555555555555552E-2</v>
      </c>
      <c r="D91" s="154" t="s">
        <v>343</v>
      </c>
      <c r="L91" s="191"/>
    </row>
    <row r="92" spans="2:12" s="187" customFormat="1" x14ac:dyDescent="0.2">
      <c r="L92" s="191"/>
    </row>
    <row r="93" spans="2:12" s="187" customFormat="1" x14ac:dyDescent="0.2">
      <c r="L93" s="191"/>
    </row>
    <row r="94" spans="2:12" s="187" customFormat="1" x14ac:dyDescent="0.2">
      <c r="L94" s="191"/>
    </row>
    <row r="95" spans="2:12" s="187" customFormat="1" x14ac:dyDescent="0.2">
      <c r="L95" s="191"/>
    </row>
    <row r="96" spans="2:12" x14ac:dyDescent="0.2">
      <c r="D96" s="67" t="s">
        <v>110</v>
      </c>
      <c r="L96" s="191"/>
    </row>
    <row r="97" spans="1:12" x14ac:dyDescent="0.2">
      <c r="B97" s="67" t="s">
        <v>67</v>
      </c>
      <c r="C97">
        <f>IF(G110=1,C100-C98,IF(D110=1,C99-C98,0))</f>
        <v>0</v>
      </c>
      <c r="D97">
        <f>SUM(C81:C97)</f>
        <v>39246.403700972864</v>
      </c>
      <c r="L97" s="191"/>
    </row>
    <row r="98" spans="1:12" x14ac:dyDescent="0.2">
      <c r="B98" t="s">
        <v>113</v>
      </c>
      <c r="C98">
        <f>'Coûts énergies'!D20</f>
        <v>143.63999999999999</v>
      </c>
      <c r="L98" s="191"/>
    </row>
    <row r="99" spans="1:12" x14ac:dyDescent="0.2">
      <c r="B99" t="s">
        <v>114</v>
      </c>
      <c r="C99">
        <f>'Coûts énergies'!H19</f>
        <v>163.44</v>
      </c>
      <c r="D99">
        <f>IF(Données!C57="Electrique",0,IF(Données!C57="Actuelle",'Consommations et côuts de prod'!D97,IF(H122=1,0,IF(H123=1,'Coûts énergies'!H32,0))))</f>
        <v>249.36</v>
      </c>
      <c r="L99" s="191"/>
    </row>
    <row r="100" spans="1:12" x14ac:dyDescent="0.2">
      <c r="B100" t="s">
        <v>115</v>
      </c>
      <c r="C100">
        <f>IF('BdD Bâtiment'!B56+6&lt;12,'Coûts énergies'!H20,IF('BdD Bâtiment'!B56+6&lt;15,'Coûts énergies'!H21,IF('BdD Bâtiment'!B56+6&lt;18,'Coûts énergies'!H22,IF('BdD Bâtiment'!B56+6&lt;24,'Coûts énergies'!H23,IF('BdD Bâtiment'!B56+6&lt;30,'Coûts énergies'!H24,'Coûts énergies'!H25)))))</f>
        <v>243.6</v>
      </c>
      <c r="E100" s="191"/>
      <c r="F100" s="191"/>
      <c r="G100" s="191"/>
      <c r="H100" s="191"/>
      <c r="I100" s="191"/>
      <c r="J100" s="191"/>
      <c r="K100" s="191"/>
      <c r="L100" s="191"/>
    </row>
    <row r="101" spans="1:12" x14ac:dyDescent="0.2">
      <c r="B101" s="191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</row>
    <row r="102" spans="1:12" x14ac:dyDescent="0.2">
      <c r="B102" s="67" t="s">
        <v>83</v>
      </c>
    </row>
    <row r="103" spans="1:12" x14ac:dyDescent="0.2">
      <c r="B103" t="s">
        <v>84</v>
      </c>
      <c r="D103">
        <v>1</v>
      </c>
      <c r="E103" t="s">
        <v>342</v>
      </c>
    </row>
    <row r="106" spans="1:12" x14ac:dyDescent="0.2">
      <c r="B106" s="284" t="s">
        <v>628</v>
      </c>
      <c r="C106" s="284" t="s">
        <v>345</v>
      </c>
      <c r="D106" s="284" t="s">
        <v>629</v>
      </c>
      <c r="E106" s="284" t="s">
        <v>630</v>
      </c>
      <c r="F106" s="284" t="s">
        <v>111</v>
      </c>
      <c r="G106" s="284" t="s">
        <v>631</v>
      </c>
      <c r="H106" s="284" t="s">
        <v>632</v>
      </c>
      <c r="I106" s="284" t="s">
        <v>633</v>
      </c>
      <c r="J106" s="284" t="s">
        <v>634</v>
      </c>
      <c r="K106" s="284"/>
    </row>
    <row r="107" spans="1:12" x14ac:dyDescent="0.2">
      <c r="A107">
        <v>1</v>
      </c>
      <c r="B107" t="str">
        <f>'BdD Bâtiment'!C34</f>
        <v>Fioul</v>
      </c>
      <c r="C107">
        <f>$C$29/'BdD Bâtiment'!$L$17</f>
        <v>4766.5124999999989</v>
      </c>
      <c r="D107">
        <f>IF('BdD Bâtiment'!$F$18=A107,1,0)</f>
        <v>1</v>
      </c>
      <c r="E107">
        <f>C107*D107*K107</f>
        <v>460.44510749999989</v>
      </c>
      <c r="F107">
        <f>$C$21/'BdD Bâtiment'!$L$17</f>
        <v>19120.485375</v>
      </c>
      <c r="G107">
        <f>IF('BdD Bâtiment'!$F$17=B107,1,0)</f>
        <v>1</v>
      </c>
      <c r="H107">
        <f>F107*G107*K107</f>
        <v>1847.0388872250001</v>
      </c>
      <c r="I107">
        <f>C107*D107+F107*G107</f>
        <v>23886.997875000001</v>
      </c>
      <c r="J107">
        <f>E107+H107</f>
        <v>2307.4839947249998</v>
      </c>
      <c r="K107">
        <f>'Coûts énergies'!D40/100</f>
        <v>9.6600000000000005E-2</v>
      </c>
    </row>
    <row r="108" spans="1:12" x14ac:dyDescent="0.2">
      <c r="A108">
        <v>2</v>
      </c>
      <c r="B108" s="187" t="str">
        <f>'BdD Bâtiment'!C35</f>
        <v>Gaz naturel</v>
      </c>
      <c r="C108">
        <f>$C$29/'BdD Bâtiment'!$L$17</f>
        <v>4766.5124999999989</v>
      </c>
      <c r="D108" s="187">
        <f>IF('BdD Bâtiment'!$F$18=A108,1,0)</f>
        <v>0</v>
      </c>
      <c r="E108" s="187">
        <f t="shared" ref="E108:E111" si="7">C108*D108*K108</f>
        <v>0</v>
      </c>
      <c r="F108">
        <f>$C$21/'BdD Bâtiment'!$L$17</f>
        <v>19120.485375</v>
      </c>
      <c r="G108">
        <f>IF('BdD Bâtiment'!$F$17=B108,1,0)</f>
        <v>0</v>
      </c>
      <c r="H108">
        <f>F108*G108*K108</f>
        <v>0</v>
      </c>
      <c r="I108">
        <f>C108*D108+F108*G108</f>
        <v>0</v>
      </c>
      <c r="J108">
        <f>E108+H108</f>
        <v>0</v>
      </c>
      <c r="K108">
        <f>G8/100</f>
        <v>5.5555555555555552E-2</v>
      </c>
    </row>
    <row r="109" spans="1:12" x14ac:dyDescent="0.2">
      <c r="A109" s="187">
        <v>3</v>
      </c>
      <c r="B109" s="187" t="str">
        <f>'BdD Bâtiment'!C36</f>
        <v>Propane</v>
      </c>
      <c r="C109" s="187">
        <f>$C$29/'BdD Bâtiment'!$L$17</f>
        <v>4766.5124999999989</v>
      </c>
      <c r="D109" s="187">
        <f>IF('BdD Bâtiment'!$F$18=A109,1,0)</f>
        <v>0</v>
      </c>
      <c r="E109" s="187">
        <f t="shared" si="7"/>
        <v>0</v>
      </c>
      <c r="F109" s="187">
        <f>$C$21/'BdD Bâtiment'!$L$17</f>
        <v>19120.485375</v>
      </c>
      <c r="G109" s="187">
        <f>IF('BdD Bâtiment'!$F$17=B109,1,0)</f>
        <v>0</v>
      </c>
      <c r="H109" s="187">
        <f t="shared" ref="H109:H110" si="8">F109*G109*K109</f>
        <v>0</v>
      </c>
      <c r="I109" s="187">
        <f t="shared" ref="I109:I110" si="9">C109*D109+F109*G109</f>
        <v>0</v>
      </c>
      <c r="J109" s="187">
        <f t="shared" ref="J109:J110" si="10">E109+H109</f>
        <v>0</v>
      </c>
      <c r="K109" s="187">
        <f>G9/100</f>
        <v>0.14610000000000001</v>
      </c>
    </row>
    <row r="110" spans="1:12" x14ac:dyDescent="0.2">
      <c r="A110" s="187">
        <v>4</v>
      </c>
      <c r="B110" s="187" t="str">
        <f>'BdD Bâtiment'!C37</f>
        <v>Chauffage électrique</v>
      </c>
      <c r="C110" s="187">
        <f>$C$29/'BdD Bâtiment'!$L$17</f>
        <v>4766.5124999999989</v>
      </c>
      <c r="D110" s="187">
        <f>IF('BdD Bâtiment'!$F$18=A110,1,0)</f>
        <v>0</v>
      </c>
      <c r="E110" s="187">
        <f t="shared" si="7"/>
        <v>0</v>
      </c>
      <c r="F110" s="187">
        <f>$C$21/'BdD Bâtiment'!$L$17</f>
        <v>19120.485375</v>
      </c>
      <c r="G110" s="187">
        <f>IF('BdD Bâtiment'!$F$17=B110,1,0)</f>
        <v>0</v>
      </c>
      <c r="H110" s="187">
        <f t="shared" si="8"/>
        <v>0</v>
      </c>
      <c r="I110" s="187">
        <f t="shared" si="9"/>
        <v>0</v>
      </c>
      <c r="J110" s="187">
        <f t="shared" si="10"/>
        <v>0</v>
      </c>
      <c r="K110" s="187">
        <f>G10/100</f>
        <v>9.6600000000000005E-2</v>
      </c>
    </row>
    <row r="111" spans="1:12" x14ac:dyDescent="0.2">
      <c r="A111">
        <v>5</v>
      </c>
      <c r="B111" s="187" t="str">
        <f>'BdD Bâtiment'!C38</f>
        <v>Bois</v>
      </c>
      <c r="C111" s="187">
        <f>$C$29/'BdD Bâtiment'!$L$17</f>
        <v>4766.5124999999989</v>
      </c>
      <c r="D111" s="187">
        <f>IF('BdD Bâtiment'!$F$18=A111,1,0)</f>
        <v>0</v>
      </c>
      <c r="E111" s="187">
        <f t="shared" si="7"/>
        <v>0</v>
      </c>
      <c r="F111" s="187">
        <f>$C$21/'BdD Bâtiment'!$L$17</f>
        <v>19120.485375</v>
      </c>
      <c r="G111">
        <f>IF('BdD Bâtiment'!$F$17=B111,1,0)</f>
        <v>0</v>
      </c>
      <c r="H111">
        <f>F111*G111*K111</f>
        <v>0</v>
      </c>
      <c r="I111">
        <f>C111*D111+F111*G111</f>
        <v>0</v>
      </c>
      <c r="J111">
        <f>E111+H111</f>
        <v>0</v>
      </c>
      <c r="K111">
        <f>'Coûts énergies'!D56/1800</f>
        <v>3.888888888888889E-2</v>
      </c>
    </row>
    <row r="112" spans="1:12" x14ac:dyDescent="0.2">
      <c r="E112">
        <f>SUM(E107:E111)</f>
        <v>460.44510749999989</v>
      </c>
      <c r="H112">
        <f>SUM(H107:H111)</f>
        <v>1847.0388872250001</v>
      </c>
    </row>
    <row r="113" spans="1:11" x14ac:dyDescent="0.2">
      <c r="B113" s="67"/>
      <c r="C113" s="67"/>
    </row>
    <row r="114" spans="1:11" x14ac:dyDescent="0.2">
      <c r="J114" t="s">
        <v>505</v>
      </c>
      <c r="K114">
        <f>VLOOKUP(1,G107:K111,5,FALSE)</f>
        <v>9.6600000000000005E-2</v>
      </c>
    </row>
    <row r="116" spans="1:11" x14ac:dyDescent="0.2">
      <c r="B116" s="67" t="s">
        <v>119</v>
      </c>
      <c r="D116" t="s">
        <v>118</v>
      </c>
    </row>
    <row r="117" spans="1:11" x14ac:dyDescent="0.2">
      <c r="B117" t="s">
        <v>85</v>
      </c>
      <c r="C117">
        <f>C100</f>
        <v>243.6</v>
      </c>
      <c r="D117">
        <f>C117-C98</f>
        <v>99.960000000000008</v>
      </c>
    </row>
    <row r="118" spans="1:11" x14ac:dyDescent="0.2">
      <c r="B118" t="s">
        <v>120</v>
      </c>
      <c r="C118">
        <f>IF('BdD Bâtiment'!B56*0.5+9&lt;12,'Coûts énergies'!H20,IF('BdD Bâtiment'!B56*0.5+9&lt;15,'Coûts énergies'!H21,IF('BdD Bâtiment'!B56*0.5+9&lt;18,'Coûts énergies'!H22,IF('BdD Bâtiment'!B56*0.5+9&lt;24,'Coûts énergies'!H23,IF('BdD Bâtiment'!B56*0.5+9&lt;30,'Coûts énergies'!H24,'Coûts énergies'!H25)))))</f>
        <v>218.76</v>
      </c>
      <c r="D118" t="s">
        <v>117</v>
      </c>
    </row>
    <row r="121" spans="1:11" x14ac:dyDescent="0.2">
      <c r="B121" t="s">
        <v>190</v>
      </c>
      <c r="C121" s="42">
        <f>'Coûts énergies'!H20</f>
        <v>192</v>
      </c>
    </row>
    <row r="122" spans="1:11" x14ac:dyDescent="0.2">
      <c r="F122" s="41">
        <f>IF(Données!C57="Hydraulique",1,0)</f>
        <v>1</v>
      </c>
      <c r="G122">
        <f>IF(OR(Données!F57='BdD Bâtiment'!E78,Données!F57='BdD Bâtiment'!E80),1,0)</f>
        <v>0</v>
      </c>
      <c r="H122">
        <f>F122*G122</f>
        <v>0</v>
      </c>
    </row>
    <row r="123" spans="1:11" x14ac:dyDescent="0.2">
      <c r="F123" s="41">
        <f>IF(Données!C57="Hydraulique",1,0)</f>
        <v>1</v>
      </c>
      <c r="G123" s="71">
        <f>IF(OR(Données!F57='BdD Bâtiment'!E79,Données!F57='BdD Bâtiment'!E81),1,0)</f>
        <v>1</v>
      </c>
      <c r="H123">
        <f>F123*G123</f>
        <v>1</v>
      </c>
    </row>
    <row r="124" spans="1:11" x14ac:dyDescent="0.2">
      <c r="G124" s="71"/>
    </row>
    <row r="125" spans="1:11" x14ac:dyDescent="0.2">
      <c r="G125" s="71"/>
    </row>
    <row r="127" spans="1:11" x14ac:dyDescent="0.2">
      <c r="A127" s="187" t="str">
        <f>'BdD Bâtiment'!B71</f>
        <v>OCBB (tirage naturel)</v>
      </c>
      <c r="B127">
        <v>1</v>
      </c>
    </row>
    <row r="128" spans="1:11" x14ac:dyDescent="0.2">
      <c r="A128" s="187" t="str">
        <f>'BdD Bâtiment'!B72</f>
        <v>CBI GS (tirage naturel)</v>
      </c>
      <c r="B128">
        <v>2</v>
      </c>
    </row>
    <row r="129" spans="1:7" x14ac:dyDescent="0.2">
      <c r="A129" s="187" t="str">
        <f>'BdD Bâtiment'!B73</f>
        <v>OCBI C (combustion inversée)</v>
      </c>
      <c r="B129">
        <v>3</v>
      </c>
    </row>
    <row r="130" spans="1:7" x14ac:dyDescent="0.2">
      <c r="A130" s="187" t="str">
        <f>'BdD Bâtiment'!B74</f>
        <v>OEtraPellet Basic</v>
      </c>
      <c r="B130" s="187">
        <v>4</v>
      </c>
    </row>
    <row r="131" spans="1:7" x14ac:dyDescent="0.2">
      <c r="A131" s="187" t="str">
        <f>'BdD Bâtiment'!B75</f>
        <v>OEtraPellet Compact</v>
      </c>
      <c r="B131" s="187">
        <v>5</v>
      </c>
    </row>
    <row r="133" spans="1:7" x14ac:dyDescent="0.2">
      <c r="A133" s="257"/>
      <c r="B133" s="187"/>
    </row>
    <row r="134" spans="1:7" x14ac:dyDescent="0.2">
      <c r="A134" s="257"/>
      <c r="B134" s="257"/>
    </row>
    <row r="135" spans="1:7" x14ac:dyDescent="0.2">
      <c r="A135" s="257"/>
      <c r="B135" s="257"/>
    </row>
    <row r="137" spans="1:7" x14ac:dyDescent="0.2">
      <c r="B137">
        <f>VLOOKUP(cchaud,A127:B131,2,FALSE)</f>
        <v>2</v>
      </c>
      <c r="F137" s="70"/>
      <c r="G137" s="70"/>
    </row>
    <row r="138" spans="1:7" ht="226.5" customHeight="1" x14ac:dyDescent="0.2">
      <c r="A138" s="256">
        <v>1</v>
      </c>
      <c r="B138" s="256"/>
      <c r="C138" s="256"/>
      <c r="D138" s="190"/>
      <c r="E138" s="190"/>
    </row>
    <row r="139" spans="1:7" ht="226.5" customHeight="1" x14ac:dyDescent="0.2">
      <c r="A139" s="256">
        <v>2</v>
      </c>
      <c r="B139" s="256"/>
      <c r="C139" s="256"/>
      <c r="D139" s="190"/>
      <c r="E139" s="190"/>
    </row>
    <row r="140" spans="1:7" ht="226.5" customHeight="1" x14ac:dyDescent="0.2">
      <c r="A140" s="256">
        <v>3</v>
      </c>
      <c r="B140" s="256"/>
      <c r="C140" s="256"/>
      <c r="D140" s="190"/>
    </row>
    <row r="141" spans="1:7" x14ac:dyDescent="0.2">
      <c r="A141" s="256">
        <v>4</v>
      </c>
      <c r="B141" s="256"/>
      <c r="C141" s="256"/>
      <c r="D141" s="190"/>
    </row>
    <row r="142" spans="1:7" x14ac:dyDescent="0.2">
      <c r="A142" s="256">
        <v>5</v>
      </c>
      <c r="B142" s="256"/>
      <c r="C142" s="256"/>
      <c r="D142" s="190"/>
    </row>
    <row r="143" spans="1:7" x14ac:dyDescent="0.2">
      <c r="A143" s="256"/>
      <c r="B143" s="256"/>
      <c r="C143" s="256"/>
      <c r="D143" s="190"/>
    </row>
    <row r="144" spans="1:7" x14ac:dyDescent="0.2">
      <c r="A144" s="190"/>
      <c r="B144" s="190"/>
      <c r="C144" s="190"/>
      <c r="D144" s="190"/>
    </row>
    <row r="145" spans="1:4" x14ac:dyDescent="0.2">
      <c r="A145" s="190"/>
      <c r="B145" s="190"/>
      <c r="C145" s="190"/>
      <c r="D145" s="190"/>
    </row>
    <row r="146" spans="1:4" x14ac:dyDescent="0.2">
      <c r="A146" s="190"/>
      <c r="B146" s="190"/>
      <c r="C146" s="190"/>
      <c r="D146" s="190"/>
    </row>
    <row r="147" spans="1:4" x14ac:dyDescent="0.2">
      <c r="A147" s="190"/>
      <c r="B147" s="190"/>
      <c r="C147" s="190"/>
      <c r="D147" s="190"/>
    </row>
  </sheetData>
  <mergeCells count="2">
    <mergeCell ref="A19:A25"/>
    <mergeCell ref="A27:A33"/>
  </mergeCells>
  <phoneticPr fontId="3" type="noConversion"/>
  <pageMargins left="0.34" right="0.17" top="0.44" bottom="0.43" header="0.4921259845" footer="0.4921259845"/>
  <pageSetup paperSize="8"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7"/>
  <dimension ref="A2:V91"/>
  <sheetViews>
    <sheetView topLeftCell="A46" workbookViewId="0">
      <selection activeCell="F87" sqref="F87"/>
    </sheetView>
  </sheetViews>
  <sheetFormatPr baseColWidth="10" defaultRowHeight="12.75" x14ac:dyDescent="0.2"/>
  <cols>
    <col min="2" max="2" width="14.28515625" customWidth="1"/>
    <col min="14" max="15" width="14.28515625" bestFit="1" customWidth="1"/>
  </cols>
  <sheetData>
    <row r="2" spans="1:18" x14ac:dyDescent="0.2">
      <c r="A2" s="161"/>
      <c r="B2" s="162" t="s">
        <v>565</v>
      </c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</row>
    <row r="4" spans="1:18" x14ac:dyDescent="0.2">
      <c r="B4" s="208" t="s">
        <v>276</v>
      </c>
      <c r="C4" s="188" t="str">
        <f>dep</f>
        <v>67 - Bas-Rhin</v>
      </c>
    </row>
    <row r="5" spans="1:18" x14ac:dyDescent="0.2">
      <c r="B5" s="208" t="s">
        <v>273</v>
      </c>
      <c r="C5" s="188" t="str">
        <f>Données!$F$14</f>
        <v>Entre 0 et 200 m</v>
      </c>
    </row>
    <row r="6" spans="1:18" x14ac:dyDescent="0.2">
      <c r="B6" s="208" t="s">
        <v>566</v>
      </c>
      <c r="C6" s="209">
        <f>VLOOKUP(F43,'BdD Localisation'!G5:AB100,F44+9,FALSE)</f>
        <v>-15</v>
      </c>
    </row>
    <row r="7" spans="1:18" x14ac:dyDescent="0.2">
      <c r="B7" s="210" t="s">
        <v>592</v>
      </c>
      <c r="C7" s="209">
        <f>VLOOKUP(F43,'BdD Localisation'!G5:AB100,10,FALSE)</f>
        <v>-15</v>
      </c>
    </row>
    <row r="9" spans="1:18" x14ac:dyDescent="0.2">
      <c r="A9" s="161"/>
      <c r="B9" s="163" t="s">
        <v>567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</row>
    <row r="11" spans="1:18" x14ac:dyDescent="0.2">
      <c r="B11" s="193" t="s">
        <v>568</v>
      </c>
      <c r="C11" s="195">
        <f>Données!C19</f>
        <v>120</v>
      </c>
      <c r="E11" s="206" t="s">
        <v>571</v>
      </c>
      <c r="F11" s="207">
        <f>TI</f>
        <v>20</v>
      </c>
      <c r="N11" s="202" t="s">
        <v>691</v>
      </c>
      <c r="O11" s="202" t="s">
        <v>693</v>
      </c>
    </row>
    <row r="12" spans="1:18" x14ac:dyDescent="0.2">
      <c r="B12" s="200" t="s">
        <v>569</v>
      </c>
      <c r="C12" s="151">
        <f>Données!F19</f>
        <v>2.5</v>
      </c>
      <c r="N12" s="203" t="s">
        <v>692</v>
      </c>
      <c r="O12" s="203" t="s">
        <v>499</v>
      </c>
    </row>
    <row r="13" spans="1:18" x14ac:dyDescent="0.2">
      <c r="B13" s="201" t="s">
        <v>570</v>
      </c>
      <c r="C13" s="154">
        <f>Données!C19*Données!F19</f>
        <v>300</v>
      </c>
      <c r="N13" s="204" t="s">
        <v>499</v>
      </c>
      <c r="O13" s="204" t="s">
        <v>694</v>
      </c>
      <c r="P13" s="67"/>
    </row>
    <row r="15" spans="1:18" x14ac:dyDescent="0.2">
      <c r="H15" s="193"/>
      <c r="I15" s="158"/>
      <c r="J15" s="159" t="s">
        <v>71</v>
      </c>
      <c r="K15" s="158" t="s">
        <v>352</v>
      </c>
      <c r="L15" s="205" t="s">
        <v>102</v>
      </c>
    </row>
    <row r="16" spans="1:18" x14ac:dyDescent="0.2">
      <c r="B16" s="193"/>
      <c r="C16" s="157" t="s">
        <v>64</v>
      </c>
      <c r="D16" s="158"/>
      <c r="E16" s="158"/>
      <c r="F16" s="195" t="s">
        <v>350</v>
      </c>
      <c r="H16" s="149">
        <v>1</v>
      </c>
      <c r="I16" s="191" t="s">
        <v>66</v>
      </c>
      <c r="J16" s="191"/>
      <c r="K16" s="191">
        <v>0.6</v>
      </c>
      <c r="L16" s="151" t="str">
        <f>Données!$F$22</f>
        <v>De 20 ans (80%)</v>
      </c>
    </row>
    <row r="17" spans="1:22" x14ac:dyDescent="0.2">
      <c r="B17" s="200">
        <v>1</v>
      </c>
      <c r="C17" s="191" t="s">
        <v>337</v>
      </c>
      <c r="D17" s="191"/>
      <c r="E17" s="191"/>
      <c r="F17" s="151" t="str">
        <f>Données!C22</f>
        <v>Fioul</v>
      </c>
      <c r="H17" s="149">
        <v>2</v>
      </c>
      <c r="I17" s="191" t="s">
        <v>73</v>
      </c>
      <c r="J17" s="191"/>
      <c r="K17" s="191">
        <v>0.7</v>
      </c>
      <c r="L17" s="151">
        <f>IF('BdD Bâtiment'!F17='BdD Bâtiment'!C38,0.65,IF('BdD Bâtiment'!F17='BdD Bâtiment'!C37,1,VLOOKUP($L$16,I16:K21,3,FALSE)))</f>
        <v>0.8</v>
      </c>
    </row>
    <row r="18" spans="1:22" x14ac:dyDescent="0.2">
      <c r="B18" s="200">
        <v>2</v>
      </c>
      <c r="C18" s="191" t="s">
        <v>358</v>
      </c>
      <c r="D18" s="191"/>
      <c r="E18" s="191"/>
      <c r="F18" s="151">
        <f>IF($F$17=$C$17,$B$17,IF($F$17=$C$18,$B$18,IF($F$17=$C$19,$B$19,IF($F$17=$C$20,$B$20,$B$21))))</f>
        <v>1</v>
      </c>
      <c r="H18" s="149">
        <v>3</v>
      </c>
      <c r="I18" s="191" t="s">
        <v>74</v>
      </c>
      <c r="J18" s="191"/>
      <c r="K18" s="191">
        <v>0.8</v>
      </c>
      <c r="L18" s="151"/>
      <c r="N18" s="202" t="s">
        <v>532</v>
      </c>
    </row>
    <row r="19" spans="1:22" x14ac:dyDescent="0.2">
      <c r="B19" s="200">
        <v>3</v>
      </c>
      <c r="C19" s="191" t="s">
        <v>339</v>
      </c>
      <c r="D19" s="191"/>
      <c r="E19" s="191"/>
      <c r="F19" s="151"/>
      <c r="H19" s="149">
        <v>4</v>
      </c>
      <c r="I19" s="191" t="s">
        <v>75</v>
      </c>
      <c r="J19" s="191"/>
      <c r="K19" s="191">
        <v>0.88</v>
      </c>
      <c r="L19" s="151"/>
      <c r="N19" s="203" t="s">
        <v>357</v>
      </c>
    </row>
    <row r="20" spans="1:22" x14ac:dyDescent="0.2">
      <c r="B20" s="200">
        <v>4</v>
      </c>
      <c r="C20" s="191" t="s">
        <v>67</v>
      </c>
      <c r="D20" s="191"/>
      <c r="E20" s="191"/>
      <c r="F20" s="151"/>
      <c r="H20" s="149">
        <v>5</v>
      </c>
      <c r="I20" s="191" t="s">
        <v>106</v>
      </c>
      <c r="J20" s="191"/>
      <c r="K20" s="191">
        <v>0.93</v>
      </c>
      <c r="L20" s="151"/>
      <c r="N20" s="204" t="s">
        <v>271</v>
      </c>
    </row>
    <row r="21" spans="1:22" x14ac:dyDescent="0.2">
      <c r="B21" s="201">
        <v>5</v>
      </c>
      <c r="C21" s="153" t="s">
        <v>56</v>
      </c>
      <c r="D21" s="153"/>
      <c r="E21" s="153"/>
      <c r="F21" s="154"/>
      <c r="H21" s="152">
        <v>6</v>
      </c>
      <c r="I21" s="153" t="s">
        <v>67</v>
      </c>
      <c r="J21" s="153"/>
      <c r="K21" s="153">
        <v>1</v>
      </c>
      <c r="L21" s="154"/>
    </row>
    <row r="24" spans="1:22" x14ac:dyDescent="0.2">
      <c r="A24" s="161"/>
      <c r="B24" s="163" t="s">
        <v>593</v>
      </c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</row>
    <row r="26" spans="1:22" x14ac:dyDescent="0.2">
      <c r="B26" s="202" t="s">
        <v>572</v>
      </c>
      <c r="D26" s="193"/>
      <c r="E26" s="157" t="s">
        <v>86</v>
      </c>
      <c r="F26" s="158"/>
      <c r="G26" s="158" t="s">
        <v>72</v>
      </c>
      <c r="H26" s="148"/>
      <c r="I26" s="158" t="s">
        <v>574</v>
      </c>
      <c r="J26" s="158"/>
      <c r="K26" s="156" t="s">
        <v>70</v>
      </c>
      <c r="L26" s="160"/>
    </row>
    <row r="27" spans="1:22" x14ac:dyDescent="0.2">
      <c r="B27" s="203" t="s">
        <v>573</v>
      </c>
      <c r="D27" s="200">
        <v>1</v>
      </c>
      <c r="E27" s="191" t="s">
        <v>191</v>
      </c>
      <c r="F27" s="191"/>
      <c r="G27" s="191">
        <v>35</v>
      </c>
      <c r="H27" s="191"/>
      <c r="I27" s="191" t="str">
        <f>Données!$F$33</f>
        <v>Normale (50 l/j à 55°C)</v>
      </c>
      <c r="J27" s="191"/>
      <c r="K27" s="590">
        <f>ROUND(Données!C33*'BdD Bâtiment'!I28*365/1000*1.16*45,0)</f>
        <v>3811</v>
      </c>
      <c r="L27" s="591"/>
      <c r="M27" t="str">
        <f>"=nb pers * 1,16 * Volume journalier *dT * 365 /1000"</f>
        <v>=nb pers * 1,16 * Volume journalier *dT * 365 /1000</v>
      </c>
    </row>
    <row r="28" spans="1:22" x14ac:dyDescent="0.2">
      <c r="B28" s="204" t="s">
        <v>196</v>
      </c>
      <c r="D28" s="200">
        <v>2</v>
      </c>
      <c r="E28" s="191" t="s">
        <v>192</v>
      </c>
      <c r="F28" s="191"/>
      <c r="G28" s="191">
        <v>50</v>
      </c>
      <c r="H28" s="191"/>
      <c r="I28" s="191">
        <f>IF(Données!F33=E27,G27,IF(Données!F33=E28,G28,IF(Données!F33=E29,G29)))</f>
        <v>50</v>
      </c>
      <c r="J28" s="191" t="s">
        <v>575</v>
      </c>
      <c r="K28" s="590">
        <f>IF(typecs=$N$20,0,'BdD Bâtiment'!$K$27)</f>
        <v>3811</v>
      </c>
      <c r="L28" s="591"/>
    </row>
    <row r="29" spans="1:22" x14ac:dyDescent="0.2">
      <c r="D29" s="201">
        <v>3</v>
      </c>
      <c r="E29" s="153" t="s">
        <v>193</v>
      </c>
      <c r="F29" s="153"/>
      <c r="G29" s="153">
        <v>70</v>
      </c>
      <c r="H29" s="153"/>
      <c r="I29" s="153"/>
      <c r="J29" s="153"/>
      <c r="K29" s="152"/>
      <c r="L29" s="154"/>
    </row>
    <row r="30" spans="1:22" x14ac:dyDescent="0.2">
      <c r="T30" s="67"/>
      <c r="V30" s="68"/>
    </row>
    <row r="32" spans="1:22" x14ac:dyDescent="0.2">
      <c r="B32" s="179" t="s">
        <v>587</v>
      </c>
      <c r="C32" s="184"/>
      <c r="D32" s="184"/>
      <c r="E32" s="184"/>
      <c r="F32" s="184"/>
      <c r="G32" s="184"/>
      <c r="H32" s="184"/>
      <c r="I32" s="185"/>
    </row>
    <row r="33" spans="2:22" x14ac:dyDescent="0.2">
      <c r="B33" s="156" t="s">
        <v>574</v>
      </c>
      <c r="C33" s="157" t="s">
        <v>101</v>
      </c>
      <c r="D33" s="158"/>
      <c r="E33" s="159" t="s">
        <v>103</v>
      </c>
      <c r="F33" s="158"/>
      <c r="G33" s="157" t="s">
        <v>76</v>
      </c>
      <c r="H33" s="157" t="s">
        <v>77</v>
      </c>
      <c r="I33" s="160"/>
      <c r="L33" s="156" t="s">
        <v>90</v>
      </c>
      <c r="M33" s="158"/>
      <c r="N33" s="158"/>
      <c r="O33" s="158"/>
      <c r="P33" s="158"/>
      <c r="Q33" s="158"/>
      <c r="R33" s="160"/>
      <c r="T33" s="592" t="s">
        <v>603</v>
      </c>
      <c r="U33" s="593"/>
      <c r="V33" s="594"/>
    </row>
    <row r="34" spans="2:22" x14ac:dyDescent="0.2">
      <c r="B34" s="149" t="str">
        <f>F17</f>
        <v>Fioul</v>
      </c>
      <c r="C34" s="191" t="s">
        <v>337</v>
      </c>
      <c r="D34" s="191"/>
      <c r="E34" s="150">
        <f>IF('BdD Bâtiment'!$F$17='BdD Bâtiment'!C34,Données!$C$36,0)</f>
        <v>4500</v>
      </c>
      <c r="F34" s="191" t="s">
        <v>78</v>
      </c>
      <c r="G34" s="191">
        <f>E34*M34</f>
        <v>45000</v>
      </c>
      <c r="H34" s="191">
        <f>G34*$L$17</f>
        <v>36000</v>
      </c>
      <c r="I34" s="151"/>
      <c r="L34" s="149" t="s">
        <v>92</v>
      </c>
      <c r="M34" s="71">
        <v>10</v>
      </c>
      <c r="N34" s="71" t="s">
        <v>76</v>
      </c>
      <c r="O34" s="155">
        <f>M34/0.94</f>
        <v>10.638297872340425</v>
      </c>
      <c r="P34" s="71" t="s">
        <v>93</v>
      </c>
      <c r="Q34" s="71">
        <f>O34*0.3</f>
        <v>3.1914893617021276</v>
      </c>
      <c r="R34" s="151" t="s">
        <v>94</v>
      </c>
      <c r="T34" s="149" t="s">
        <v>337</v>
      </c>
      <c r="U34" s="191" t="s">
        <v>78</v>
      </c>
      <c r="V34" s="151"/>
    </row>
    <row r="35" spans="2:22" x14ac:dyDescent="0.2">
      <c r="B35" s="149"/>
      <c r="C35" s="191" t="s">
        <v>358</v>
      </c>
      <c r="D35" s="191"/>
      <c r="E35" s="150">
        <f>IF('BdD Bâtiment'!$F$17='BdD Bâtiment'!C35,Données!$C$36,0)</f>
        <v>0</v>
      </c>
      <c r="F35" s="191" t="s">
        <v>79</v>
      </c>
      <c r="G35" s="191">
        <f>E35*M35</f>
        <v>0</v>
      </c>
      <c r="H35" s="191">
        <f>G35*$L$17</f>
        <v>0</v>
      </c>
      <c r="I35" s="151"/>
      <c r="L35" s="149" t="s">
        <v>95</v>
      </c>
      <c r="M35" s="71">
        <v>10</v>
      </c>
      <c r="N35" s="71" t="s">
        <v>76</v>
      </c>
      <c r="O35" s="155">
        <f>M35/0.9</f>
        <v>11.111111111111111</v>
      </c>
      <c r="P35" s="71" t="s">
        <v>93</v>
      </c>
      <c r="Q35" s="71">
        <f>O35*0.23</f>
        <v>2.5555555555555554</v>
      </c>
      <c r="R35" s="151" t="s">
        <v>94</v>
      </c>
      <c r="T35" s="149" t="s">
        <v>358</v>
      </c>
      <c r="U35" s="191" t="s">
        <v>79</v>
      </c>
      <c r="V35" s="151"/>
    </row>
    <row r="36" spans="2:22" x14ac:dyDescent="0.2">
      <c r="B36" s="149"/>
      <c r="C36" s="191" t="s">
        <v>339</v>
      </c>
      <c r="D36" s="191"/>
      <c r="E36" s="150">
        <f>IF('BdD Bâtiment'!$F$17='BdD Bâtiment'!C36,Données!$C$36,0)</f>
        <v>0</v>
      </c>
      <c r="F36" s="191" t="s">
        <v>80</v>
      </c>
      <c r="G36" s="191">
        <f>E36*M36</f>
        <v>0</v>
      </c>
      <c r="H36" s="191">
        <f>G36*$L$17</f>
        <v>0</v>
      </c>
      <c r="I36" s="151"/>
      <c r="L36" s="149" t="s">
        <v>96</v>
      </c>
      <c r="M36" s="71">
        <v>12.8</v>
      </c>
      <c r="N36" s="71" t="s">
        <v>76</v>
      </c>
      <c r="O36" s="155">
        <f>M36/0.92</f>
        <v>13.913043478260869</v>
      </c>
      <c r="P36" s="71" t="s">
        <v>93</v>
      </c>
      <c r="Q36" s="71"/>
      <c r="R36" s="151"/>
      <c r="T36" s="149" t="s">
        <v>339</v>
      </c>
      <c r="U36" s="191" t="s">
        <v>80</v>
      </c>
      <c r="V36" s="151"/>
    </row>
    <row r="37" spans="2:22" x14ac:dyDescent="0.2">
      <c r="B37" s="149"/>
      <c r="C37" s="191" t="s">
        <v>67</v>
      </c>
      <c r="D37" s="191"/>
      <c r="E37" s="150">
        <f>IF('BdD Bâtiment'!$F$17='BdD Bâtiment'!C37,Données!$C$36,0)</f>
        <v>0</v>
      </c>
      <c r="F37" s="191" t="s">
        <v>81</v>
      </c>
      <c r="G37" s="191">
        <f>E37*M37</f>
        <v>0</v>
      </c>
      <c r="H37" s="191">
        <f>G37*$L$17</f>
        <v>0</v>
      </c>
      <c r="I37" s="151"/>
      <c r="L37" s="149" t="s">
        <v>97</v>
      </c>
      <c r="M37" s="71">
        <v>4.8</v>
      </c>
      <c r="N37" s="71" t="s">
        <v>76</v>
      </c>
      <c r="O37" s="155"/>
      <c r="P37" s="71"/>
      <c r="Q37" s="71"/>
      <c r="R37" s="151"/>
      <c r="T37" s="149" t="s">
        <v>67</v>
      </c>
      <c r="U37" s="191" t="s">
        <v>81</v>
      </c>
      <c r="V37" s="151"/>
    </row>
    <row r="38" spans="2:22" x14ac:dyDescent="0.2">
      <c r="B38" s="149"/>
      <c r="C38" s="191" t="s">
        <v>56</v>
      </c>
      <c r="D38" s="191"/>
      <c r="E38" s="191">
        <f>IF('BdD Bâtiment'!$F$17='BdD Bâtiment'!C38,Données!$C$36,0)</f>
        <v>0</v>
      </c>
      <c r="F38" s="191" t="s">
        <v>537</v>
      </c>
      <c r="G38" s="191">
        <f>E38*M38</f>
        <v>0</v>
      </c>
      <c r="H38" s="191">
        <f>G38*$L$17</f>
        <v>0</v>
      </c>
      <c r="I38" s="151"/>
      <c r="L38" s="152" t="s">
        <v>99</v>
      </c>
      <c r="M38" s="153"/>
      <c r="N38" s="153" t="s">
        <v>76</v>
      </c>
      <c r="O38" s="153"/>
      <c r="P38" s="153" t="s">
        <v>100</v>
      </c>
      <c r="Q38" s="153">
        <v>0.18</v>
      </c>
      <c r="R38" s="154" t="s">
        <v>94</v>
      </c>
      <c r="T38" s="152" t="s">
        <v>56</v>
      </c>
      <c r="U38" s="153" t="s">
        <v>539</v>
      </c>
      <c r="V38" s="154"/>
    </row>
    <row r="39" spans="2:22" x14ac:dyDescent="0.2">
      <c r="B39" s="152"/>
      <c r="C39" s="153"/>
      <c r="D39" s="153"/>
      <c r="E39" s="153"/>
      <c r="F39" s="153"/>
      <c r="G39" s="153" t="s">
        <v>82</v>
      </c>
      <c r="H39" s="153">
        <f>SUM(H34:H38)</f>
        <v>36000</v>
      </c>
      <c r="I39" s="154"/>
    </row>
    <row r="42" spans="2:22" x14ac:dyDescent="0.2">
      <c r="B42" s="156" t="s">
        <v>576</v>
      </c>
      <c r="C42" s="158"/>
      <c r="D42" s="158"/>
      <c r="E42" s="158"/>
      <c r="F42" s="160"/>
    </row>
    <row r="43" spans="2:22" x14ac:dyDescent="0.2">
      <c r="B43" s="175"/>
      <c r="C43" s="148"/>
      <c r="D43" s="148"/>
      <c r="E43" s="176" t="s">
        <v>497</v>
      </c>
      <c r="F43" s="177">
        <f>VLOOKUP(Données!C14,'BdD Localisation'!F5:G100,2,FALSE)</f>
        <v>69</v>
      </c>
    </row>
    <row r="44" spans="2:22" x14ac:dyDescent="0.2">
      <c r="B44" s="164" t="s">
        <v>104</v>
      </c>
      <c r="C44" s="71"/>
      <c r="D44" s="71"/>
      <c r="E44" s="167" t="s">
        <v>16</v>
      </c>
      <c r="F44" s="168">
        <f>'BdD Localisation'!AS5</f>
        <v>1</v>
      </c>
    </row>
    <row r="45" spans="2:22" x14ac:dyDescent="0.2">
      <c r="B45" s="149">
        <f>VLOOKUP(F43,'BdD Localisation'!G5:AN100,24,FALSE)</f>
        <v>64800</v>
      </c>
      <c r="C45" s="71"/>
      <c r="D45" s="71"/>
      <c r="E45" s="167" t="s">
        <v>63</v>
      </c>
      <c r="F45" s="168">
        <f>VLOOKUP('BdD Bâtiment'!F43,'BdD Localisation'!C5:AN100,27,FALSE)</f>
        <v>5200</v>
      </c>
    </row>
    <row r="46" spans="2:22" x14ac:dyDescent="0.2">
      <c r="B46" s="165" t="s">
        <v>105</v>
      </c>
      <c r="C46" s="71"/>
      <c r="D46" s="71"/>
      <c r="E46" s="71"/>
      <c r="F46" s="151"/>
    </row>
    <row r="47" spans="2:22" x14ac:dyDescent="0.2">
      <c r="B47" s="149">
        <f>'BdD Bâtiment'!B45+'BdD Bâtiment'!F45*(Données!L19-19)</f>
        <v>70000</v>
      </c>
      <c r="C47" s="170" t="str">
        <f>"= DJH 19 + Nb heures * (T°consigne -19)"</f>
        <v>= DJH 19 + Nb heures * (T°consigne -19)</v>
      </c>
      <c r="D47" s="71"/>
      <c r="E47" s="71"/>
      <c r="F47" s="151"/>
    </row>
    <row r="48" spans="2:22" x14ac:dyDescent="0.2">
      <c r="B48" s="149"/>
      <c r="C48" s="71"/>
      <c r="D48" s="71"/>
      <c r="E48" s="71"/>
      <c r="F48" s="151"/>
      <c r="O48" s="143" t="s">
        <v>590</v>
      </c>
    </row>
    <row r="49" spans="1:18" x14ac:dyDescent="0.2">
      <c r="B49" s="164" t="s">
        <v>112</v>
      </c>
      <c r="C49" s="71"/>
      <c r="D49" s="71"/>
      <c r="E49" s="71"/>
      <c r="F49" s="151"/>
    </row>
    <row r="50" spans="1:18" x14ac:dyDescent="0.2">
      <c r="B50" s="166" t="s">
        <v>588</v>
      </c>
      <c r="C50" s="71">
        <f>($H$39-'BdD Bâtiment'!K$28)/(0.75*'BdD Bâtiment'!C$13*'BdD Bâtiment'!B$47/1000/0.9)</f>
        <v>1.8393714285714287</v>
      </c>
      <c r="D50" s="71"/>
      <c r="E50" s="71"/>
      <c r="F50" s="151"/>
      <c r="O50" s="171" t="s">
        <v>495</v>
      </c>
      <c r="Q50" s="171">
        <f>C6</f>
        <v>-15</v>
      </c>
      <c r="R50" s="171">
        <f>ABS(Q50)+2</f>
        <v>17</v>
      </c>
    </row>
    <row r="51" spans="1:18" x14ac:dyDescent="0.2">
      <c r="B51" s="166" t="s">
        <v>589</v>
      </c>
      <c r="C51" s="213">
        <f>IF(C50&gt;0,C50,"-")</f>
        <v>1.8393714285714287</v>
      </c>
      <c r="D51" s="71"/>
      <c r="E51" s="71"/>
      <c r="F51" s="151"/>
      <c r="O51" s="171" t="s">
        <v>494</v>
      </c>
      <c r="P51" s="171"/>
      <c r="Q51" s="171"/>
      <c r="R51" s="171"/>
    </row>
    <row r="52" spans="1:18" x14ac:dyDescent="0.2">
      <c r="B52" s="164" t="s">
        <v>61</v>
      </c>
      <c r="C52" s="174">
        <f>Données!C39</f>
        <v>0.9</v>
      </c>
      <c r="D52" s="71"/>
      <c r="E52" s="71"/>
      <c r="F52" s="151"/>
      <c r="O52" s="171"/>
      <c r="P52" s="171"/>
      <c r="Q52" s="171"/>
      <c r="R52" s="171"/>
    </row>
    <row r="53" spans="1:18" x14ac:dyDescent="0.2">
      <c r="B53" s="156" t="s">
        <v>674</v>
      </c>
      <c r="C53" s="158"/>
      <c r="D53" s="158"/>
      <c r="E53" s="158"/>
      <c r="F53" s="158"/>
      <c r="G53" s="158"/>
      <c r="H53" s="158"/>
      <c r="I53" s="158"/>
      <c r="J53" s="160"/>
      <c r="R53" s="171"/>
    </row>
    <row r="54" spans="1:18" x14ac:dyDescent="0.2">
      <c r="B54" s="172" t="s">
        <v>591</v>
      </c>
      <c r="C54" s="71">
        <f>ROUND((0.75*'BdD Bâtiment'!C52*'BdD Bâtiment'!C13*($B$47)/0.9/1000)*(Données!L19-'BdD Bâtiment'!C6)/(Données!L19-'BdD Bâtiment'!C7),1)</f>
        <v>15750</v>
      </c>
      <c r="D54" s="169" t="s">
        <v>342</v>
      </c>
      <c r="E54" s="178" t="s">
        <v>594</v>
      </c>
      <c r="F54" s="153"/>
      <c r="G54" s="153"/>
      <c r="H54" s="153"/>
      <c r="I54" s="153"/>
      <c r="J54" s="154"/>
      <c r="O54" s="171"/>
      <c r="Q54" s="171"/>
      <c r="R54" s="171"/>
    </row>
    <row r="55" spans="1:18" x14ac:dyDescent="0.2">
      <c r="B55" s="156" t="s">
        <v>496</v>
      </c>
      <c r="C55" s="158"/>
      <c r="D55" s="158"/>
      <c r="E55" s="160"/>
      <c r="F55" s="71"/>
      <c r="O55" s="171"/>
      <c r="P55" s="171"/>
      <c r="Q55" s="171"/>
      <c r="R55" s="171"/>
    </row>
    <row r="56" spans="1:18" x14ac:dyDescent="0.2">
      <c r="B56" s="180">
        <f>ROUND($C$52*$C$13*(Données!$L$19-$C$6)/1000,1)</f>
        <v>9.5</v>
      </c>
      <c r="C56" s="169" t="s">
        <v>551</v>
      </c>
      <c r="D56" s="178" t="s">
        <v>595</v>
      </c>
      <c r="E56" s="151"/>
    </row>
    <row r="57" spans="1:18" x14ac:dyDescent="0.2">
      <c r="B57" s="181">
        <f>ROUND($B$56,0)</f>
        <v>10</v>
      </c>
      <c r="C57" s="173" t="s">
        <v>551</v>
      </c>
      <c r="D57" s="153"/>
      <c r="E57" s="154"/>
    </row>
    <row r="60" spans="1:18" x14ac:dyDescent="0.2">
      <c r="A60" s="161"/>
      <c r="B60" s="162" t="s">
        <v>502</v>
      </c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</row>
    <row r="62" spans="1:18" x14ac:dyDescent="0.2">
      <c r="B62" s="211" t="s">
        <v>199</v>
      </c>
      <c r="C62" s="156" t="s">
        <v>345</v>
      </c>
      <c r="D62" s="160" t="s">
        <v>111</v>
      </c>
    </row>
    <row r="63" spans="1:18" x14ac:dyDescent="0.2">
      <c r="B63" s="203" t="s">
        <v>200</v>
      </c>
      <c r="C63" s="149">
        <f>Données!F46/100</f>
        <v>0.1</v>
      </c>
      <c r="D63" s="151">
        <f>Données!L46/100</f>
        <v>0.5</v>
      </c>
    </row>
    <row r="64" spans="1:18" x14ac:dyDescent="0.2">
      <c r="B64" s="203" t="s">
        <v>305</v>
      </c>
      <c r="C64" s="149">
        <f>Données!F46/100</f>
        <v>0.1</v>
      </c>
      <c r="D64" s="151">
        <v>0</v>
      </c>
    </row>
    <row r="65" spans="1:18" x14ac:dyDescent="0.2">
      <c r="B65" s="204" t="s">
        <v>196</v>
      </c>
      <c r="C65" s="152">
        <v>0</v>
      </c>
      <c r="D65" s="154">
        <v>0</v>
      </c>
    </row>
    <row r="66" spans="1:18" x14ac:dyDescent="0.2">
      <c r="C66" s="212">
        <f>VLOOKUP(Données!C46,B63:C65,2,FALSE)</f>
        <v>0</v>
      </c>
      <c r="D66" s="207">
        <f>VLOOKUP(Données!C46,B63:D65,3,FALSE)</f>
        <v>0</v>
      </c>
    </row>
    <row r="67" spans="1:18" s="187" customFormat="1" x14ac:dyDescent="0.2"/>
    <row r="68" spans="1:18" x14ac:dyDescent="0.2">
      <c r="A68" s="161"/>
      <c r="B68" s="162" t="s">
        <v>596</v>
      </c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</row>
    <row r="70" spans="1:18" x14ac:dyDescent="0.2">
      <c r="B70" s="156" t="s">
        <v>602</v>
      </c>
      <c r="C70" s="194" t="s">
        <v>704</v>
      </c>
      <c r="D70" s="211" t="s">
        <v>705</v>
      </c>
    </row>
    <row r="71" spans="1:18" x14ac:dyDescent="0.2">
      <c r="B71" s="608" t="s">
        <v>806</v>
      </c>
      <c r="C71" s="151" t="s">
        <v>701</v>
      </c>
      <c r="D71" s="454" t="s">
        <v>706</v>
      </c>
    </row>
    <row r="72" spans="1:18" s="187" customFormat="1" x14ac:dyDescent="0.2">
      <c r="B72" s="608" t="s">
        <v>804</v>
      </c>
      <c r="C72" s="151" t="s">
        <v>702</v>
      </c>
      <c r="D72" s="454" t="s">
        <v>706</v>
      </c>
    </row>
    <row r="73" spans="1:18" x14ac:dyDescent="0.2">
      <c r="B73" s="608" t="s">
        <v>805</v>
      </c>
      <c r="C73" s="151" t="s">
        <v>703</v>
      </c>
      <c r="D73" s="454" t="s">
        <v>706</v>
      </c>
    </row>
    <row r="74" spans="1:18" s="187" customFormat="1" x14ac:dyDescent="0.2">
      <c r="B74" s="608" t="s">
        <v>807</v>
      </c>
      <c r="C74" s="458" t="s">
        <v>801</v>
      </c>
      <c r="D74" s="454" t="s">
        <v>707</v>
      </c>
    </row>
    <row r="75" spans="1:18" x14ac:dyDescent="0.2">
      <c r="B75" s="609" t="s">
        <v>808</v>
      </c>
      <c r="C75" s="459" t="s">
        <v>801</v>
      </c>
      <c r="D75" s="455" t="s">
        <v>707</v>
      </c>
    </row>
    <row r="76" spans="1:18" x14ac:dyDescent="0.2">
      <c r="E76" s="156" t="s">
        <v>362</v>
      </c>
      <c r="F76" s="160"/>
      <c r="K76" s="199" t="s">
        <v>345</v>
      </c>
    </row>
    <row r="77" spans="1:18" x14ac:dyDescent="0.2">
      <c r="B77" s="156" t="s">
        <v>355</v>
      </c>
      <c r="C77" s="160"/>
      <c r="E77" s="156"/>
      <c r="F77" s="158"/>
      <c r="G77" s="196" t="s">
        <v>352</v>
      </c>
      <c r="H77" s="220"/>
      <c r="I77" s="221" t="s">
        <v>608</v>
      </c>
      <c r="K77" s="156"/>
      <c r="L77" s="321" t="s">
        <v>352</v>
      </c>
      <c r="M77" s="321" t="s">
        <v>660</v>
      </c>
      <c r="N77" s="157" t="s">
        <v>669</v>
      </c>
      <c r="O77" s="194" t="s">
        <v>532</v>
      </c>
    </row>
    <row r="78" spans="1:18" x14ac:dyDescent="0.2">
      <c r="B78" s="180" t="s">
        <v>116</v>
      </c>
      <c r="C78" s="506">
        <f>'BdD Bâtiment'!$L$17</f>
        <v>0.8</v>
      </c>
      <c r="E78" s="180" t="s">
        <v>337</v>
      </c>
      <c r="F78" s="191">
        <v>0.92</v>
      </c>
      <c r="G78" s="151">
        <f>IF($C$82=$B$80,1,IF($C$82=$B$78,$F$82,VLOOKUP(Données!F57,'BdD Bâtiment'!E78:F81,2,FALSE)))</f>
        <v>1.05</v>
      </c>
      <c r="H78" s="180">
        <v>8.2200000000000006</v>
      </c>
      <c r="I78" s="151">
        <f>IF(C82=B78,$H$82,IF(C82=B79,VLOOKUP(Données!$F$57,'BdD Bâtiment'!$E$78:$H$81,4,FALSE),""))</f>
        <v>6.3</v>
      </c>
      <c r="K78" s="351" t="s">
        <v>673</v>
      </c>
      <c r="L78" s="197">
        <f>Chaudières!$J$37</f>
        <v>0.89900000000000002</v>
      </c>
      <c r="M78" s="319">
        <f>'Coûts énergies'!D56/1800</f>
        <v>3.888888888888889E-2</v>
      </c>
      <c r="N78" s="192">
        <f>Résultats!$BI$18</f>
        <v>149.14375000000001</v>
      </c>
      <c r="O78" s="151">
        <f>IF(cesc='BdD Bâtiment'!K78,'Consommations et côuts de prod'!C29,0)</f>
        <v>3813.2099999999996</v>
      </c>
    </row>
    <row r="79" spans="1:18" x14ac:dyDescent="0.2">
      <c r="B79" s="180" t="s">
        <v>359</v>
      </c>
      <c r="C79" s="506">
        <f>'BdD Bâtiment'!G78</f>
        <v>1.05</v>
      </c>
      <c r="E79" s="180" t="s">
        <v>338</v>
      </c>
      <c r="F79" s="191">
        <v>0.93</v>
      </c>
      <c r="G79" s="151"/>
      <c r="H79" s="180">
        <v>6.3</v>
      </c>
      <c r="I79" s="151"/>
      <c r="K79" s="180" t="s">
        <v>271</v>
      </c>
      <c r="L79" s="504">
        <v>1</v>
      </c>
      <c r="M79" s="319">
        <f>'Consommations et côuts de prod'!$G$6/100</f>
        <v>0.16329999999999997</v>
      </c>
      <c r="N79" s="192">
        <f>'Consommations et côuts de prod'!$C$29*M79/L79</f>
        <v>622.69719299999986</v>
      </c>
      <c r="O79" s="151"/>
    </row>
    <row r="80" spans="1:18" x14ac:dyDescent="0.2">
      <c r="B80" s="180" t="s">
        <v>271</v>
      </c>
      <c r="C80" s="506">
        <v>1</v>
      </c>
      <c r="E80" s="180" t="s">
        <v>360</v>
      </c>
      <c r="F80" s="191">
        <v>1.02</v>
      </c>
      <c r="G80" s="151"/>
      <c r="H80" s="180">
        <v>8.2200000000000006</v>
      </c>
      <c r="I80" s="151"/>
      <c r="K80" s="181" t="str">
        <f>IF(Données!C57='BdD Bâtiment'!B78,"","Appoint chauffage")</f>
        <v>Appoint chauffage</v>
      </c>
      <c r="L80" s="505">
        <f>'BdD Bâtiment'!$C$79</f>
        <v>1.05</v>
      </c>
      <c r="M80" s="320">
        <f>'Consommations et côuts de prod'!$H$6/100</f>
        <v>6.3E-2</v>
      </c>
      <c r="N80" s="198">
        <f>'Consommations et côuts de prod'!$C$29*M80/L80</f>
        <v>228.79259999999996</v>
      </c>
      <c r="O80" s="154"/>
    </row>
    <row r="81" spans="2:15" x14ac:dyDescent="0.2">
      <c r="B81" s="181" t="s">
        <v>531</v>
      </c>
      <c r="C81" s="507">
        <f>Chaudières!$J$37</f>
        <v>0.89900000000000002</v>
      </c>
      <c r="E81" s="180" t="s">
        <v>361</v>
      </c>
      <c r="F81" s="191">
        <v>1.05</v>
      </c>
      <c r="G81" s="151"/>
      <c r="H81" s="180">
        <v>6.3</v>
      </c>
      <c r="I81" s="218"/>
      <c r="K81" s="214"/>
      <c r="L81" s="191"/>
      <c r="M81" s="155"/>
      <c r="N81" s="192"/>
      <c r="O81" s="191"/>
    </row>
    <row r="82" spans="2:15" x14ac:dyDescent="0.2">
      <c r="B82" s="206" t="s">
        <v>574</v>
      </c>
      <c r="C82" s="207" t="str">
        <f>Données!$C$57</f>
        <v>Hydraulique</v>
      </c>
      <c r="E82" s="181" t="s">
        <v>116</v>
      </c>
      <c r="F82" s="153">
        <f>$L$17</f>
        <v>0.8</v>
      </c>
      <c r="G82" s="154"/>
      <c r="H82" s="181">
        <f>'Consommations et côuts de prod'!G10</f>
        <v>9.66</v>
      </c>
      <c r="I82" s="219"/>
    </row>
    <row r="85" spans="2:15" x14ac:dyDescent="0.2">
      <c r="B85" s="156" t="s">
        <v>604</v>
      </c>
      <c r="C85" s="194"/>
      <c r="E85" s="489" t="s">
        <v>717</v>
      </c>
      <c r="F85" s="490"/>
      <c r="J85" s="492" t="s">
        <v>350</v>
      </c>
    </row>
    <row r="86" spans="2:15" x14ac:dyDescent="0.2">
      <c r="B86" s="149" t="s">
        <v>605</v>
      </c>
      <c r="C86" s="151" t="str">
        <f>C82</f>
        <v>Hydraulique</v>
      </c>
      <c r="E86" s="202" t="str">
        <f>B71</f>
        <v>OCBB (tirage naturel)</v>
      </c>
      <c r="F86" s="208" t="str">
        <f>B72</f>
        <v>CBI GS (tirage naturel)</v>
      </c>
      <c r="G86" s="208" t="str">
        <f>B73</f>
        <v>OCBI C (combustion inversée)</v>
      </c>
      <c r="H86" s="208" t="str">
        <f>B74</f>
        <v>OEtraPellet Basic</v>
      </c>
      <c r="I86" s="208" t="str">
        <f>B75</f>
        <v>OEtraPellet Compact</v>
      </c>
      <c r="J86" s="460" t="str">
        <f>cchaud</f>
        <v>CBI GS (tirage naturel)</v>
      </c>
    </row>
    <row r="87" spans="2:15" x14ac:dyDescent="0.2">
      <c r="B87" s="149" t="s">
        <v>606</v>
      </c>
      <c r="C87" s="216" t="str">
        <f>IF($C$82=$B$78,$F$17,IF(C82=B79," yy"))</f>
        <v xml:space="preserve"> yy</v>
      </c>
      <c r="E87" s="610" t="s">
        <v>811</v>
      </c>
      <c r="F87" s="610" t="s">
        <v>812</v>
      </c>
      <c r="G87" s="610" t="s">
        <v>814</v>
      </c>
      <c r="H87" s="491" t="str">
        <f>""</f>
        <v/>
      </c>
      <c r="I87" s="491" t="str">
        <f>""</f>
        <v/>
      </c>
      <c r="J87" s="493" t="str">
        <f>HLOOKUP($J$86,$E$86:$I$89,2,FALSE)</f>
        <v>CBI 20 GS</v>
      </c>
    </row>
    <row r="88" spans="2:15" x14ac:dyDescent="0.2">
      <c r="B88" s="152" t="s">
        <v>352</v>
      </c>
      <c r="C88" s="154">
        <f>G78</f>
        <v>1.05</v>
      </c>
      <c r="E88" s="203" t="str">
        <f>""</f>
        <v/>
      </c>
      <c r="F88" s="454" t="s">
        <v>813</v>
      </c>
      <c r="G88" s="203" t="str">
        <f>""</f>
        <v/>
      </c>
      <c r="H88" s="454" t="s">
        <v>815</v>
      </c>
      <c r="I88" s="454" t="s">
        <v>816</v>
      </c>
      <c r="J88" s="493" t="str">
        <f>HLOOKUP($J$86,$E$86:$I$89,3,FALSE)</f>
        <v>CBI 32 GS</v>
      </c>
    </row>
    <row r="89" spans="2:15" x14ac:dyDescent="0.2">
      <c r="C89" s="191"/>
      <c r="D89" s="191"/>
      <c r="E89" s="204" t="str">
        <f>""</f>
        <v/>
      </c>
      <c r="F89" s="204" t="str">
        <f>""</f>
        <v/>
      </c>
      <c r="G89" s="204" t="str">
        <f>""</f>
        <v/>
      </c>
      <c r="H89" s="204" t="str">
        <f>""</f>
        <v/>
      </c>
      <c r="I89" s="204" t="str">
        <f>""</f>
        <v/>
      </c>
      <c r="J89" s="494" t="str">
        <f>HLOOKUP($J$86,$E$86:$I$89,4,FALSE)</f>
        <v/>
      </c>
    </row>
    <row r="90" spans="2:15" x14ac:dyDescent="0.2">
      <c r="I90" s="143"/>
    </row>
    <row r="91" spans="2:15" x14ac:dyDescent="0.2">
      <c r="I91" s="143"/>
    </row>
  </sheetData>
  <mergeCells count="3">
    <mergeCell ref="K27:L27"/>
    <mergeCell ref="K28:L28"/>
    <mergeCell ref="T33:V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8"/>
  <dimension ref="C3:BI206"/>
  <sheetViews>
    <sheetView topLeftCell="A205" workbookViewId="0">
      <selection activeCell="BG189" sqref="BG189"/>
    </sheetView>
  </sheetViews>
  <sheetFormatPr baseColWidth="10" defaultRowHeight="12.75" x14ac:dyDescent="0.2"/>
  <sheetData>
    <row r="3" spans="3:45" ht="38.25" x14ac:dyDescent="0.2">
      <c r="C3" s="27" t="s">
        <v>274</v>
      </c>
      <c r="D3" s="27" t="s">
        <v>275</v>
      </c>
      <c r="E3" s="27" t="s">
        <v>276</v>
      </c>
      <c r="F3" s="27"/>
      <c r="G3" s="27"/>
      <c r="H3" s="27" t="s">
        <v>277</v>
      </c>
      <c r="I3" s="27" t="s">
        <v>278</v>
      </c>
      <c r="J3" s="27" t="s">
        <v>279</v>
      </c>
      <c r="K3" s="27" t="s">
        <v>280</v>
      </c>
      <c r="L3" s="27" t="s">
        <v>281</v>
      </c>
      <c r="M3" s="27" t="s">
        <v>281</v>
      </c>
      <c r="N3" s="28" t="s">
        <v>282</v>
      </c>
      <c r="O3" s="28" t="s">
        <v>283</v>
      </c>
      <c r="P3" s="28" t="s">
        <v>284</v>
      </c>
      <c r="Q3" s="28" t="s">
        <v>285</v>
      </c>
      <c r="R3" s="28" t="s">
        <v>286</v>
      </c>
      <c r="S3" s="28" t="s">
        <v>287</v>
      </c>
      <c r="T3" s="28" t="s">
        <v>288</v>
      </c>
      <c r="U3" s="28" t="s">
        <v>289</v>
      </c>
      <c r="V3" s="28" t="s">
        <v>290</v>
      </c>
      <c r="W3" s="28" t="s">
        <v>291</v>
      </c>
      <c r="X3" s="28" t="s">
        <v>292</v>
      </c>
      <c r="Y3" s="28" t="s">
        <v>293</v>
      </c>
      <c r="Z3" s="28" t="s">
        <v>294</v>
      </c>
      <c r="AA3" s="28" t="s">
        <v>295</v>
      </c>
      <c r="AB3" s="28" t="s">
        <v>296</v>
      </c>
      <c r="AC3" s="28" t="s">
        <v>297</v>
      </c>
      <c r="AD3" s="28" t="s">
        <v>298</v>
      </c>
      <c r="AE3" s="595" t="s">
        <v>299</v>
      </c>
      <c r="AF3" s="595"/>
      <c r="AG3" s="27" t="s">
        <v>300</v>
      </c>
      <c r="AH3" s="27" t="s">
        <v>301</v>
      </c>
      <c r="AI3" s="27" t="s">
        <v>302</v>
      </c>
      <c r="AJ3" s="27" t="s">
        <v>303</v>
      </c>
      <c r="AK3" s="27" t="s">
        <v>304</v>
      </c>
      <c r="AL3" s="27" t="s">
        <v>305</v>
      </c>
      <c r="AM3" s="27" t="s">
        <v>305</v>
      </c>
      <c r="AN3" s="27" t="s">
        <v>305</v>
      </c>
    </row>
    <row r="4" spans="3:45" x14ac:dyDescent="0.2">
      <c r="C4" s="29">
        <v>1</v>
      </c>
      <c r="D4" s="29">
        <v>2</v>
      </c>
      <c r="E4" s="29">
        <v>3</v>
      </c>
      <c r="F4" s="29">
        <v>4</v>
      </c>
      <c r="G4" s="29"/>
      <c r="H4" s="29">
        <v>5</v>
      </c>
      <c r="I4" s="29">
        <v>6</v>
      </c>
      <c r="J4" s="29">
        <v>7</v>
      </c>
      <c r="K4" s="29">
        <v>8</v>
      </c>
      <c r="L4" s="29">
        <v>9</v>
      </c>
      <c r="M4" s="29">
        <v>10</v>
      </c>
      <c r="N4" s="29">
        <v>11</v>
      </c>
      <c r="O4" s="29">
        <v>12</v>
      </c>
      <c r="P4" s="29">
        <v>13</v>
      </c>
      <c r="Q4" s="29">
        <v>14</v>
      </c>
      <c r="R4" s="29">
        <v>15</v>
      </c>
      <c r="S4" s="29">
        <v>16</v>
      </c>
      <c r="T4" s="29">
        <v>17</v>
      </c>
      <c r="U4" s="29">
        <v>18</v>
      </c>
      <c r="V4" s="29">
        <v>19</v>
      </c>
      <c r="W4" s="29">
        <v>20</v>
      </c>
      <c r="X4" s="29">
        <v>21</v>
      </c>
      <c r="Y4" s="29">
        <v>22</v>
      </c>
      <c r="Z4" s="29">
        <v>23</v>
      </c>
      <c r="AA4" s="29">
        <v>24</v>
      </c>
      <c r="AB4" s="29">
        <v>25</v>
      </c>
      <c r="AC4" s="29">
        <v>26</v>
      </c>
      <c r="AD4" s="29">
        <v>27</v>
      </c>
      <c r="AE4" s="29">
        <v>28</v>
      </c>
      <c r="AF4" s="29">
        <v>29</v>
      </c>
      <c r="AG4" s="29">
        <v>30</v>
      </c>
      <c r="AH4" s="29">
        <v>31</v>
      </c>
      <c r="AI4" s="29">
        <v>32</v>
      </c>
      <c r="AJ4" s="29">
        <v>33</v>
      </c>
      <c r="AK4" s="29">
        <v>34</v>
      </c>
      <c r="AL4" s="29">
        <v>35</v>
      </c>
      <c r="AM4" s="29">
        <v>36</v>
      </c>
      <c r="AN4" s="29">
        <v>37</v>
      </c>
      <c r="AQ4" t="str">
        <f>Données!F14</f>
        <v>Entre 0 et 200 m</v>
      </c>
    </row>
    <row r="5" spans="3:45" ht="25.5" x14ac:dyDescent="0.2">
      <c r="C5" s="30">
        <v>2</v>
      </c>
      <c r="D5" s="31">
        <v>1</v>
      </c>
      <c r="E5" s="31" t="s">
        <v>307</v>
      </c>
      <c r="F5" s="32" t="str">
        <f t="shared" ref="F5:F36" si="0">D5&amp;" - "&amp;E5</f>
        <v>1 - Ain</v>
      </c>
      <c r="G5" s="30">
        <v>2</v>
      </c>
      <c r="H5" s="31" t="s">
        <v>308</v>
      </c>
      <c r="I5" s="31" t="s">
        <v>309</v>
      </c>
      <c r="J5" s="31">
        <v>2</v>
      </c>
      <c r="K5" s="31">
        <f t="shared" ref="K5:K36" si="1">MATCH(M5,N5:AB5,0)-1</f>
        <v>12</v>
      </c>
      <c r="L5" s="31">
        <f t="shared" ref="L5:L36" si="2">MAX(N5:AB5)</f>
        <v>-10</v>
      </c>
      <c r="M5" s="31">
        <f t="shared" ref="M5:M36" si="3">MIN(N5:AB5)</f>
        <v>-20</v>
      </c>
      <c r="N5" s="31" t="s">
        <v>270</v>
      </c>
      <c r="O5" s="35" t="s">
        <v>270</v>
      </c>
      <c r="P5" s="31">
        <v>-10</v>
      </c>
      <c r="Q5" s="31">
        <v>-11</v>
      </c>
      <c r="R5" s="31">
        <v>-12</v>
      </c>
      <c r="S5" s="31">
        <v>-13</v>
      </c>
      <c r="T5" s="31">
        <v>-14</v>
      </c>
      <c r="U5" s="31">
        <v>-15</v>
      </c>
      <c r="V5" s="31">
        <v>-16</v>
      </c>
      <c r="W5" s="31">
        <v>-17</v>
      </c>
      <c r="X5" s="31">
        <v>-18</v>
      </c>
      <c r="Y5" s="31">
        <v>-19</v>
      </c>
      <c r="Z5" s="31">
        <v>-20</v>
      </c>
      <c r="AA5" s="31" t="s">
        <v>270</v>
      </c>
      <c r="AB5" s="31" t="s">
        <v>270</v>
      </c>
      <c r="AC5" s="33">
        <v>4900</v>
      </c>
      <c r="AD5" s="43">
        <v>63000</v>
      </c>
      <c r="AE5" s="31"/>
      <c r="AF5" s="31"/>
      <c r="AG5" s="31">
        <v>80</v>
      </c>
      <c r="AH5" s="31"/>
      <c r="AI5" s="31">
        <f t="shared" ref="AI5:AI36" si="4">IF(AH5=0,AG5,(AG5+AH5)/2)</f>
        <v>80</v>
      </c>
      <c r="AJ5" s="31">
        <v>1.5</v>
      </c>
      <c r="AK5" s="31"/>
      <c r="AL5" s="31" t="s">
        <v>310</v>
      </c>
      <c r="AM5" s="31">
        <v>1450</v>
      </c>
      <c r="AN5" s="34">
        <v>1</v>
      </c>
      <c r="AO5">
        <v>1</v>
      </c>
      <c r="AP5" s="28" t="s">
        <v>19</v>
      </c>
      <c r="AQ5">
        <f>IF(AQ4=AP5,1,IF(AQ4=AP6,2,IF(AQ4=AP7,3,IF(AQ4=AP8,4,IF(AQ4=AP9,5,IF(AQ4=AP10,6,IF(AQ4=AP11,7)))))))</f>
        <v>1</v>
      </c>
      <c r="AR5" t="b">
        <f>IF(AQ4=AP12,8,IF(AQ4=AP13,9,IF(AQ4=AP14,10,IF(AQ4=AP15,11,IF(AQ4=AP16,12,IF(AQ4=AP17,13))))))</f>
        <v>0</v>
      </c>
      <c r="AS5">
        <f>AR5+AQ5</f>
        <v>1</v>
      </c>
    </row>
    <row r="6" spans="3:45" ht="25.5" x14ac:dyDescent="0.2">
      <c r="C6" s="30">
        <v>3</v>
      </c>
      <c r="D6" s="31">
        <v>2</v>
      </c>
      <c r="E6" s="31" t="s">
        <v>311</v>
      </c>
      <c r="F6" s="32" t="str">
        <f t="shared" si="0"/>
        <v>2 - Aisne</v>
      </c>
      <c r="G6" s="30">
        <v>3</v>
      </c>
      <c r="H6" s="31" t="s">
        <v>308</v>
      </c>
      <c r="I6" s="31" t="s">
        <v>312</v>
      </c>
      <c r="J6" s="31">
        <v>2</v>
      </c>
      <c r="K6" s="31">
        <f t="shared" si="1"/>
        <v>3</v>
      </c>
      <c r="L6" s="31">
        <f t="shared" si="2"/>
        <v>-7</v>
      </c>
      <c r="M6" s="31">
        <f t="shared" si="3"/>
        <v>-8</v>
      </c>
      <c r="N6" s="31" t="s">
        <v>270</v>
      </c>
      <c r="O6" s="35" t="s">
        <v>270</v>
      </c>
      <c r="P6" s="31">
        <v>-7</v>
      </c>
      <c r="Q6" s="31">
        <v>-8</v>
      </c>
      <c r="R6" s="31" t="s">
        <v>270</v>
      </c>
      <c r="S6" s="31" t="s">
        <v>270</v>
      </c>
      <c r="T6" s="31" t="s">
        <v>270</v>
      </c>
      <c r="U6" s="31" t="s">
        <v>270</v>
      </c>
      <c r="V6" s="31" t="s">
        <v>270</v>
      </c>
      <c r="W6" s="31" t="s">
        <v>270</v>
      </c>
      <c r="X6" s="31" t="s">
        <v>270</v>
      </c>
      <c r="Y6" s="31" t="s">
        <v>270</v>
      </c>
      <c r="Z6" s="31" t="s">
        <v>270</v>
      </c>
      <c r="AA6" s="31" t="s">
        <v>270</v>
      </c>
      <c r="AB6" s="31" t="s">
        <v>270</v>
      </c>
      <c r="AC6" s="33">
        <v>5800</v>
      </c>
      <c r="AD6" s="43">
        <v>65400</v>
      </c>
      <c r="AE6" s="31"/>
      <c r="AF6" s="31"/>
      <c r="AG6" s="31">
        <v>73</v>
      </c>
      <c r="AH6" s="31"/>
      <c r="AI6" s="31">
        <f t="shared" si="4"/>
        <v>73</v>
      </c>
      <c r="AJ6" s="31"/>
      <c r="AK6" s="31"/>
      <c r="AL6" s="31" t="s">
        <v>306</v>
      </c>
      <c r="AM6" s="31">
        <v>1250</v>
      </c>
      <c r="AN6" s="34">
        <v>1</v>
      </c>
      <c r="AO6">
        <v>2</v>
      </c>
      <c r="AP6" s="28" t="s">
        <v>20</v>
      </c>
    </row>
    <row r="7" spans="3:45" ht="25.5" x14ac:dyDescent="0.2">
      <c r="C7" s="30">
        <v>4</v>
      </c>
      <c r="D7" s="31">
        <v>3</v>
      </c>
      <c r="E7" s="31" t="s">
        <v>313</v>
      </c>
      <c r="F7" s="32" t="str">
        <f t="shared" si="0"/>
        <v>3 - Allier</v>
      </c>
      <c r="G7" s="30">
        <v>4</v>
      </c>
      <c r="H7" s="31" t="s">
        <v>308</v>
      </c>
      <c r="I7" s="31" t="s">
        <v>309</v>
      </c>
      <c r="J7" s="31">
        <v>2</v>
      </c>
      <c r="K7" s="31">
        <f t="shared" si="1"/>
        <v>14</v>
      </c>
      <c r="L7" s="31">
        <f t="shared" si="2"/>
        <v>-8</v>
      </c>
      <c r="M7" s="31">
        <f t="shared" si="3"/>
        <v>-20</v>
      </c>
      <c r="N7" s="31" t="s">
        <v>270</v>
      </c>
      <c r="O7" s="35" t="s">
        <v>270</v>
      </c>
      <c r="P7" s="31">
        <v>-8</v>
      </c>
      <c r="Q7" s="31">
        <v>-9</v>
      </c>
      <c r="R7" s="31">
        <v>-10</v>
      </c>
      <c r="S7" s="31">
        <v>-11</v>
      </c>
      <c r="T7" s="31">
        <v>-12</v>
      </c>
      <c r="U7" s="31">
        <v>-13</v>
      </c>
      <c r="V7" s="31">
        <v>-14</v>
      </c>
      <c r="W7" s="31">
        <v>-15</v>
      </c>
      <c r="X7" s="31">
        <v>-16</v>
      </c>
      <c r="Y7" s="31">
        <v>-17</v>
      </c>
      <c r="Z7" s="31">
        <v>-18</v>
      </c>
      <c r="AA7" s="31">
        <v>-19</v>
      </c>
      <c r="AB7" s="31">
        <v>-20</v>
      </c>
      <c r="AC7" s="33">
        <v>5100</v>
      </c>
      <c r="AD7" s="43">
        <v>60200</v>
      </c>
      <c r="AE7" s="31"/>
      <c r="AF7" s="31"/>
      <c r="AG7" s="31">
        <v>79</v>
      </c>
      <c r="AH7" s="31"/>
      <c r="AI7" s="31">
        <f t="shared" si="4"/>
        <v>79</v>
      </c>
      <c r="AJ7" s="31">
        <v>1.5</v>
      </c>
      <c r="AK7" s="31"/>
      <c r="AL7" s="31" t="s">
        <v>310</v>
      </c>
      <c r="AM7" s="31">
        <v>1450</v>
      </c>
      <c r="AN7" s="34">
        <v>1</v>
      </c>
      <c r="AO7">
        <v>3</v>
      </c>
      <c r="AP7" s="28" t="s">
        <v>21</v>
      </c>
    </row>
    <row r="8" spans="3:45" ht="25.5" x14ac:dyDescent="0.2">
      <c r="C8" s="30">
        <v>5</v>
      </c>
      <c r="D8" s="31">
        <v>4</v>
      </c>
      <c r="E8" s="31" t="s">
        <v>314</v>
      </c>
      <c r="F8" s="32" t="str">
        <f t="shared" si="0"/>
        <v>4 - Alpes de haute provence</v>
      </c>
      <c r="G8" s="30">
        <v>5</v>
      </c>
      <c r="H8" s="31" t="s">
        <v>315</v>
      </c>
      <c r="I8" s="31" t="s">
        <v>316</v>
      </c>
      <c r="J8" s="31">
        <v>2</v>
      </c>
      <c r="K8" s="31">
        <f t="shared" si="1"/>
        <v>14</v>
      </c>
      <c r="L8" s="31">
        <f t="shared" si="2"/>
        <v>-8</v>
      </c>
      <c r="M8" s="31">
        <f t="shared" si="3"/>
        <v>-20</v>
      </c>
      <c r="N8" s="31" t="s">
        <v>270</v>
      </c>
      <c r="O8" s="35" t="s">
        <v>270</v>
      </c>
      <c r="P8" s="31">
        <v>-8</v>
      </c>
      <c r="Q8" s="31">
        <v>-9</v>
      </c>
      <c r="R8" s="31">
        <v>-10</v>
      </c>
      <c r="S8" s="31">
        <v>-11</v>
      </c>
      <c r="T8" s="31">
        <v>-12</v>
      </c>
      <c r="U8" s="31">
        <v>-13</v>
      </c>
      <c r="V8" s="31">
        <v>-14</v>
      </c>
      <c r="W8" s="31">
        <v>-15</v>
      </c>
      <c r="X8" s="31">
        <v>-16</v>
      </c>
      <c r="Y8" s="31">
        <v>-17</v>
      </c>
      <c r="Z8" s="31">
        <v>-18</v>
      </c>
      <c r="AA8" s="31">
        <v>-19</v>
      </c>
      <c r="AB8" s="31">
        <v>-20</v>
      </c>
      <c r="AC8" s="33">
        <v>4100</v>
      </c>
      <c r="AD8" s="43">
        <v>53100</v>
      </c>
      <c r="AE8" s="31"/>
      <c r="AF8" s="31"/>
      <c r="AG8" s="31">
        <v>132</v>
      </c>
      <c r="AH8" s="31"/>
      <c r="AI8" s="31">
        <f t="shared" si="4"/>
        <v>132</v>
      </c>
      <c r="AJ8" s="31">
        <v>1.5</v>
      </c>
      <c r="AK8" s="31"/>
      <c r="AL8" s="31" t="s">
        <v>317</v>
      </c>
      <c r="AM8" s="31">
        <v>2200</v>
      </c>
      <c r="AN8" s="34">
        <v>1.2</v>
      </c>
      <c r="AO8">
        <v>4</v>
      </c>
      <c r="AP8" s="28" t="s">
        <v>22</v>
      </c>
    </row>
    <row r="9" spans="3:45" ht="25.5" x14ac:dyDescent="0.2">
      <c r="C9" s="30">
        <v>6</v>
      </c>
      <c r="D9" s="31">
        <v>5</v>
      </c>
      <c r="E9" s="31" t="s">
        <v>318</v>
      </c>
      <c r="F9" s="32" t="str">
        <f t="shared" si="0"/>
        <v>5 - Hautes-Alpes</v>
      </c>
      <c r="G9" s="30">
        <v>6</v>
      </c>
      <c r="H9" s="31" t="s">
        <v>308</v>
      </c>
      <c r="I9" s="31" t="s">
        <v>316</v>
      </c>
      <c r="J9" s="31">
        <v>2</v>
      </c>
      <c r="K9" s="31">
        <f t="shared" si="1"/>
        <v>12</v>
      </c>
      <c r="L9" s="31">
        <f t="shared" si="2"/>
        <v>-10</v>
      </c>
      <c r="M9" s="31">
        <f t="shared" si="3"/>
        <v>-20</v>
      </c>
      <c r="N9" s="31" t="s">
        <v>270</v>
      </c>
      <c r="O9" s="35" t="s">
        <v>270</v>
      </c>
      <c r="P9" s="31">
        <v>-10</v>
      </c>
      <c r="Q9" s="31">
        <v>-11</v>
      </c>
      <c r="R9" s="31">
        <v>-12</v>
      </c>
      <c r="S9" s="31">
        <v>-13</v>
      </c>
      <c r="T9" s="31">
        <v>-14</v>
      </c>
      <c r="U9" s="31">
        <v>-15</v>
      </c>
      <c r="V9" s="31">
        <v>-16</v>
      </c>
      <c r="W9" s="31">
        <v>-17</v>
      </c>
      <c r="X9" s="31">
        <v>-18</v>
      </c>
      <c r="Y9" s="31">
        <v>-19</v>
      </c>
      <c r="Z9" s="31">
        <v>-20</v>
      </c>
      <c r="AA9" s="31" t="s">
        <v>270</v>
      </c>
      <c r="AB9" s="31" t="s">
        <v>270</v>
      </c>
      <c r="AC9" s="33">
        <v>4200</v>
      </c>
      <c r="AD9" s="43">
        <v>63000</v>
      </c>
      <c r="AE9" s="31" t="s">
        <v>319</v>
      </c>
      <c r="AF9" s="31" t="s">
        <v>320</v>
      </c>
      <c r="AG9" s="31">
        <v>125</v>
      </c>
      <c r="AH9" s="31">
        <v>135</v>
      </c>
      <c r="AI9" s="31">
        <f t="shared" si="4"/>
        <v>130</v>
      </c>
      <c r="AJ9" s="31">
        <v>1.5</v>
      </c>
      <c r="AK9" s="31"/>
      <c r="AL9" s="31" t="s">
        <v>321</v>
      </c>
      <c r="AM9" s="31">
        <v>1800</v>
      </c>
      <c r="AN9" s="34">
        <v>1.3</v>
      </c>
      <c r="AO9">
        <v>5</v>
      </c>
      <c r="AP9" s="28" t="s">
        <v>23</v>
      </c>
    </row>
    <row r="10" spans="3:45" ht="25.5" x14ac:dyDescent="0.2">
      <c r="C10" s="30">
        <v>7</v>
      </c>
      <c r="D10" s="31">
        <v>6</v>
      </c>
      <c r="E10" s="31" t="s">
        <v>322</v>
      </c>
      <c r="F10" s="32" t="str">
        <f t="shared" si="0"/>
        <v>6 - Alpes maritimes</v>
      </c>
      <c r="G10" s="30">
        <v>7</v>
      </c>
      <c r="H10" s="31" t="s">
        <v>323</v>
      </c>
      <c r="I10" s="31" t="s">
        <v>316</v>
      </c>
      <c r="J10" s="31">
        <v>0</v>
      </c>
      <c r="K10" s="31">
        <f t="shared" si="1"/>
        <v>14</v>
      </c>
      <c r="L10" s="31">
        <f t="shared" si="2"/>
        <v>0</v>
      </c>
      <c r="M10" s="31">
        <f t="shared" si="3"/>
        <v>-12</v>
      </c>
      <c r="N10" s="31">
        <v>0</v>
      </c>
      <c r="O10" s="35">
        <v>-2</v>
      </c>
      <c r="P10" s="31">
        <v>-5</v>
      </c>
      <c r="Q10" s="31">
        <v>-6</v>
      </c>
      <c r="R10" s="31">
        <v>-7</v>
      </c>
      <c r="S10" s="31">
        <v>-7</v>
      </c>
      <c r="T10" s="31">
        <v>-8</v>
      </c>
      <c r="U10" s="31">
        <v>-8</v>
      </c>
      <c r="V10" s="31">
        <v>-9</v>
      </c>
      <c r="W10" s="31">
        <v>-9</v>
      </c>
      <c r="X10" s="31">
        <v>-10</v>
      </c>
      <c r="Y10" s="31">
        <v>-10</v>
      </c>
      <c r="Z10" s="31">
        <v>-11</v>
      </c>
      <c r="AA10" s="31">
        <v>-11</v>
      </c>
      <c r="AB10" s="31">
        <v>-12</v>
      </c>
      <c r="AC10" s="33">
        <v>3900</v>
      </c>
      <c r="AD10" s="43">
        <v>36000</v>
      </c>
      <c r="AE10" s="31"/>
      <c r="AF10" s="31"/>
      <c r="AG10" s="31">
        <v>135</v>
      </c>
      <c r="AH10" s="31"/>
      <c r="AI10" s="31">
        <f t="shared" si="4"/>
        <v>135</v>
      </c>
      <c r="AJ10" s="31">
        <v>1.8</v>
      </c>
      <c r="AK10" s="31">
        <v>5</v>
      </c>
      <c r="AL10" s="31" t="s">
        <v>317</v>
      </c>
      <c r="AM10" s="31">
        <v>2200</v>
      </c>
      <c r="AN10" s="34">
        <v>1.1000000000000001</v>
      </c>
      <c r="AO10">
        <v>6</v>
      </c>
      <c r="AP10" s="28" t="s">
        <v>24</v>
      </c>
    </row>
    <row r="11" spans="3:45" ht="25.5" x14ac:dyDescent="0.2">
      <c r="C11" s="30">
        <v>8</v>
      </c>
      <c r="D11" s="31">
        <v>7</v>
      </c>
      <c r="E11" s="31" t="s">
        <v>324</v>
      </c>
      <c r="F11" s="32" t="str">
        <f t="shared" si="0"/>
        <v>7 - Ardèche</v>
      </c>
      <c r="G11" s="30">
        <v>8</v>
      </c>
      <c r="H11" s="31" t="s">
        <v>315</v>
      </c>
      <c r="I11" s="31" t="s">
        <v>316</v>
      </c>
      <c r="J11" s="31">
        <v>2</v>
      </c>
      <c r="K11" s="31">
        <f t="shared" si="1"/>
        <v>10</v>
      </c>
      <c r="L11" s="31">
        <f t="shared" si="2"/>
        <v>-6</v>
      </c>
      <c r="M11" s="31">
        <f t="shared" si="3"/>
        <v>-14</v>
      </c>
      <c r="N11" s="31" t="s">
        <v>270</v>
      </c>
      <c r="O11" s="35" t="s">
        <v>270</v>
      </c>
      <c r="P11" s="31">
        <v>-6</v>
      </c>
      <c r="Q11" s="31">
        <v>-7</v>
      </c>
      <c r="R11" s="31">
        <v>-8</v>
      </c>
      <c r="S11" s="31">
        <v>-9</v>
      </c>
      <c r="T11" s="31">
        <v>-10</v>
      </c>
      <c r="U11" s="31">
        <v>-11</v>
      </c>
      <c r="V11" s="31">
        <v>-12</v>
      </c>
      <c r="W11" s="31">
        <v>-13</v>
      </c>
      <c r="X11" s="31">
        <v>-14</v>
      </c>
      <c r="Y11" s="31" t="s">
        <v>270</v>
      </c>
      <c r="Z11" s="31" t="s">
        <v>270</v>
      </c>
      <c r="AA11" s="31" t="s">
        <v>270</v>
      </c>
      <c r="AB11" s="31" t="s">
        <v>270</v>
      </c>
      <c r="AC11" s="33">
        <v>4900</v>
      </c>
      <c r="AD11" s="43">
        <v>55500</v>
      </c>
      <c r="AE11" s="31" t="s">
        <v>325</v>
      </c>
      <c r="AF11" s="31" t="s">
        <v>326</v>
      </c>
      <c r="AG11" s="31">
        <v>95</v>
      </c>
      <c r="AH11" s="31">
        <v>110</v>
      </c>
      <c r="AI11" s="31">
        <f t="shared" si="4"/>
        <v>102.5</v>
      </c>
      <c r="AJ11" s="31">
        <v>1.5</v>
      </c>
      <c r="AK11" s="31"/>
      <c r="AL11" s="31" t="s">
        <v>321</v>
      </c>
      <c r="AM11" s="31">
        <v>1800</v>
      </c>
      <c r="AN11" s="34">
        <v>1</v>
      </c>
      <c r="AO11">
        <v>7</v>
      </c>
      <c r="AP11" s="28" t="s">
        <v>25</v>
      </c>
    </row>
    <row r="12" spans="3:45" ht="25.5" x14ac:dyDescent="0.2">
      <c r="C12" s="30">
        <v>9</v>
      </c>
      <c r="D12" s="31">
        <v>8</v>
      </c>
      <c r="E12" s="31" t="s">
        <v>327</v>
      </c>
      <c r="F12" s="32" t="str">
        <f t="shared" si="0"/>
        <v>8 - Ardennes</v>
      </c>
      <c r="G12" s="30">
        <v>9</v>
      </c>
      <c r="H12" s="31" t="s">
        <v>308</v>
      </c>
      <c r="I12" s="31" t="s">
        <v>328</v>
      </c>
      <c r="J12" s="31">
        <v>2</v>
      </c>
      <c r="K12" s="31">
        <f t="shared" si="1"/>
        <v>4</v>
      </c>
      <c r="L12" s="31">
        <f t="shared" si="2"/>
        <v>-10</v>
      </c>
      <c r="M12" s="31">
        <f t="shared" si="3"/>
        <v>-12</v>
      </c>
      <c r="N12" s="31" t="s">
        <v>270</v>
      </c>
      <c r="O12" s="35" t="s">
        <v>270</v>
      </c>
      <c r="P12" s="31">
        <v>-10</v>
      </c>
      <c r="Q12" s="31">
        <v>-11</v>
      </c>
      <c r="R12" s="31">
        <v>-12</v>
      </c>
      <c r="S12" s="31" t="s">
        <v>270</v>
      </c>
      <c r="T12" s="31" t="s">
        <v>270</v>
      </c>
      <c r="U12" s="31" t="s">
        <v>270</v>
      </c>
      <c r="V12" s="31" t="s">
        <v>270</v>
      </c>
      <c r="W12" s="31" t="s">
        <v>270</v>
      </c>
      <c r="X12" s="31" t="s">
        <v>270</v>
      </c>
      <c r="Y12" s="31" t="s">
        <v>270</v>
      </c>
      <c r="Z12" s="31" t="s">
        <v>270</v>
      </c>
      <c r="AA12" s="31" t="s">
        <v>270</v>
      </c>
      <c r="AB12" s="31" t="s">
        <v>270</v>
      </c>
      <c r="AC12" s="33">
        <v>5600</v>
      </c>
      <c r="AD12" s="43">
        <v>70500</v>
      </c>
      <c r="AE12" s="31"/>
      <c r="AF12" s="31"/>
      <c r="AG12" s="31">
        <v>71</v>
      </c>
      <c r="AH12" s="31"/>
      <c r="AI12" s="31">
        <f t="shared" si="4"/>
        <v>71</v>
      </c>
      <c r="AJ12" s="31"/>
      <c r="AK12" s="31"/>
      <c r="AL12" s="31" t="s">
        <v>306</v>
      </c>
      <c r="AM12" s="31">
        <v>1250</v>
      </c>
      <c r="AN12" s="34">
        <v>1</v>
      </c>
      <c r="AO12">
        <v>8</v>
      </c>
      <c r="AP12" s="28" t="s">
        <v>26</v>
      </c>
    </row>
    <row r="13" spans="3:45" ht="25.5" x14ac:dyDescent="0.2">
      <c r="C13" s="30">
        <v>10</v>
      </c>
      <c r="D13" s="31">
        <v>9</v>
      </c>
      <c r="E13" s="31" t="s">
        <v>329</v>
      </c>
      <c r="F13" s="32" t="str">
        <f t="shared" si="0"/>
        <v>9 - Ariège</v>
      </c>
      <c r="G13" s="30">
        <v>10</v>
      </c>
      <c r="H13" s="31" t="s">
        <v>315</v>
      </c>
      <c r="I13" s="31" t="s">
        <v>309</v>
      </c>
      <c r="J13" s="31">
        <v>2</v>
      </c>
      <c r="K13" s="31">
        <f t="shared" si="1"/>
        <v>14</v>
      </c>
      <c r="L13" s="31">
        <f t="shared" si="2"/>
        <v>-5</v>
      </c>
      <c r="M13" s="31">
        <f t="shared" si="3"/>
        <v>-12</v>
      </c>
      <c r="N13" s="31" t="s">
        <v>270</v>
      </c>
      <c r="O13" s="35" t="s">
        <v>270</v>
      </c>
      <c r="P13" s="31">
        <v>-5</v>
      </c>
      <c r="Q13" s="31">
        <v>-6</v>
      </c>
      <c r="R13" s="31">
        <v>-7</v>
      </c>
      <c r="S13" s="31">
        <v>-7</v>
      </c>
      <c r="T13" s="31">
        <v>-8</v>
      </c>
      <c r="U13" s="31">
        <v>-8</v>
      </c>
      <c r="V13" s="31">
        <v>-9</v>
      </c>
      <c r="W13" s="31">
        <v>-9</v>
      </c>
      <c r="X13" s="31">
        <v>-10</v>
      </c>
      <c r="Y13" s="31">
        <v>-10</v>
      </c>
      <c r="Z13" s="31">
        <v>-11</v>
      </c>
      <c r="AA13" s="31">
        <v>-11</v>
      </c>
      <c r="AB13" s="31">
        <v>-12</v>
      </c>
      <c r="AC13" s="33">
        <v>4400</v>
      </c>
      <c r="AD13" s="43">
        <v>54500</v>
      </c>
      <c r="AE13" s="31"/>
      <c r="AF13" s="31"/>
      <c r="AG13" s="31">
        <v>110</v>
      </c>
      <c r="AH13" s="31"/>
      <c r="AI13" s="31">
        <f t="shared" si="4"/>
        <v>110</v>
      </c>
      <c r="AJ13" s="31">
        <v>1.5</v>
      </c>
      <c r="AK13" s="31"/>
      <c r="AL13" s="31" t="s">
        <v>321</v>
      </c>
      <c r="AM13" s="31">
        <v>1800</v>
      </c>
      <c r="AN13" s="34">
        <v>1</v>
      </c>
      <c r="AO13">
        <v>9</v>
      </c>
      <c r="AP13" s="28" t="s">
        <v>27</v>
      </c>
    </row>
    <row r="14" spans="3:45" ht="25.5" x14ac:dyDescent="0.2">
      <c r="C14" s="30">
        <v>11</v>
      </c>
      <c r="D14" s="31">
        <v>10</v>
      </c>
      <c r="E14" s="31" t="s">
        <v>330</v>
      </c>
      <c r="F14" s="32" t="str">
        <f t="shared" si="0"/>
        <v>10 - Aube</v>
      </c>
      <c r="G14" s="30">
        <v>11</v>
      </c>
      <c r="H14" s="31" t="s">
        <v>308</v>
      </c>
      <c r="I14" s="31" t="s">
        <v>328</v>
      </c>
      <c r="J14" s="31">
        <v>2</v>
      </c>
      <c r="K14" s="31">
        <f t="shared" si="1"/>
        <v>3</v>
      </c>
      <c r="L14" s="31">
        <f t="shared" si="2"/>
        <v>-10</v>
      </c>
      <c r="M14" s="31">
        <f t="shared" si="3"/>
        <v>-11</v>
      </c>
      <c r="N14" s="31" t="s">
        <v>270</v>
      </c>
      <c r="O14" s="35" t="s">
        <v>270</v>
      </c>
      <c r="P14" s="31">
        <v>-10</v>
      </c>
      <c r="Q14" s="31">
        <v>-11</v>
      </c>
      <c r="R14" s="31" t="s">
        <v>270</v>
      </c>
      <c r="S14" s="31" t="s">
        <v>270</v>
      </c>
      <c r="T14" s="31" t="s">
        <v>270</v>
      </c>
      <c r="U14" s="31" t="s">
        <v>270</v>
      </c>
      <c r="V14" s="31" t="s">
        <v>270</v>
      </c>
      <c r="W14" s="31" t="s">
        <v>270</v>
      </c>
      <c r="X14" s="31" t="s">
        <v>270</v>
      </c>
      <c r="Y14" s="31" t="s">
        <v>270</v>
      </c>
      <c r="Z14" s="31" t="s">
        <v>270</v>
      </c>
      <c r="AA14" s="31" t="s">
        <v>270</v>
      </c>
      <c r="AB14" s="31" t="s">
        <v>270</v>
      </c>
      <c r="AC14" s="33">
        <v>5500</v>
      </c>
      <c r="AD14" s="43">
        <v>62900</v>
      </c>
      <c r="AE14" s="31"/>
      <c r="AF14" s="31"/>
      <c r="AG14" s="31">
        <v>74</v>
      </c>
      <c r="AH14" s="31"/>
      <c r="AI14" s="31">
        <f t="shared" si="4"/>
        <v>74</v>
      </c>
      <c r="AJ14" s="31"/>
      <c r="AK14" s="31"/>
      <c r="AL14" s="31" t="s">
        <v>306</v>
      </c>
      <c r="AM14" s="31">
        <v>1250</v>
      </c>
      <c r="AN14" s="34">
        <v>1</v>
      </c>
      <c r="AO14">
        <v>10</v>
      </c>
      <c r="AP14" s="28" t="s">
        <v>28</v>
      </c>
    </row>
    <row r="15" spans="3:45" ht="25.5" x14ac:dyDescent="0.2">
      <c r="C15" s="30">
        <v>12</v>
      </c>
      <c r="D15" s="31">
        <v>11</v>
      </c>
      <c r="E15" s="31" t="s">
        <v>331</v>
      </c>
      <c r="F15" s="32" t="str">
        <f t="shared" si="0"/>
        <v>11 - Aude</v>
      </c>
      <c r="G15" s="30">
        <v>12</v>
      </c>
      <c r="H15" s="31" t="s">
        <v>323</v>
      </c>
      <c r="I15" s="31" t="s">
        <v>316</v>
      </c>
      <c r="J15" s="31">
        <v>0</v>
      </c>
      <c r="K15" s="31">
        <f t="shared" si="1"/>
        <v>14</v>
      </c>
      <c r="L15" s="31">
        <f t="shared" si="2"/>
        <v>-2</v>
      </c>
      <c r="M15" s="31">
        <f t="shared" si="3"/>
        <v>-12</v>
      </c>
      <c r="N15" s="31">
        <v>-2</v>
      </c>
      <c r="O15" s="35">
        <v>-4</v>
      </c>
      <c r="P15" s="31">
        <v>-5</v>
      </c>
      <c r="Q15" s="31">
        <v>-6</v>
      </c>
      <c r="R15" s="31">
        <v>-7</v>
      </c>
      <c r="S15" s="31">
        <v>-7</v>
      </c>
      <c r="T15" s="31">
        <v>-8</v>
      </c>
      <c r="U15" s="31">
        <v>-8</v>
      </c>
      <c r="V15" s="31">
        <v>-9</v>
      </c>
      <c r="W15" s="31">
        <v>-9</v>
      </c>
      <c r="X15" s="31">
        <v>-10</v>
      </c>
      <c r="Y15" s="31">
        <v>-10</v>
      </c>
      <c r="Z15" s="31">
        <v>-11</v>
      </c>
      <c r="AA15" s="31">
        <v>-11</v>
      </c>
      <c r="AB15" s="31">
        <v>-12</v>
      </c>
      <c r="AC15" s="33">
        <v>4000</v>
      </c>
      <c r="AD15" s="43">
        <v>46300</v>
      </c>
      <c r="AE15" s="31" t="s">
        <v>332</v>
      </c>
      <c r="AF15" s="36" t="s">
        <v>333</v>
      </c>
      <c r="AG15" s="31">
        <v>101</v>
      </c>
      <c r="AH15" s="31">
        <v>127</v>
      </c>
      <c r="AI15" s="31">
        <f t="shared" si="4"/>
        <v>114</v>
      </c>
      <c r="AJ15" s="31">
        <v>1.8</v>
      </c>
      <c r="AK15" s="31">
        <v>5</v>
      </c>
      <c r="AL15" s="31" t="s">
        <v>317</v>
      </c>
      <c r="AM15" s="31">
        <v>2200</v>
      </c>
      <c r="AN15" s="34">
        <v>1</v>
      </c>
      <c r="AO15">
        <v>11</v>
      </c>
      <c r="AP15" s="28" t="s">
        <v>29</v>
      </c>
    </row>
    <row r="16" spans="3:45" ht="25.5" x14ac:dyDescent="0.2">
      <c r="C16" s="30">
        <v>13</v>
      </c>
      <c r="D16" s="31">
        <v>12</v>
      </c>
      <c r="E16" s="31" t="s">
        <v>334</v>
      </c>
      <c r="F16" s="32" t="str">
        <f t="shared" si="0"/>
        <v>12 - Aveyron</v>
      </c>
      <c r="G16" s="30">
        <v>13</v>
      </c>
      <c r="H16" s="31" t="s">
        <v>315</v>
      </c>
      <c r="I16" s="31" t="s">
        <v>309</v>
      </c>
      <c r="J16" s="31">
        <v>2</v>
      </c>
      <c r="K16" s="31">
        <f t="shared" si="1"/>
        <v>13</v>
      </c>
      <c r="L16" s="31">
        <f t="shared" si="2"/>
        <v>-8</v>
      </c>
      <c r="M16" s="31">
        <f t="shared" si="3"/>
        <v>-19</v>
      </c>
      <c r="N16" s="31" t="s">
        <v>270</v>
      </c>
      <c r="O16" s="35" t="s">
        <v>270</v>
      </c>
      <c r="P16" s="31">
        <v>-8</v>
      </c>
      <c r="Q16" s="31">
        <v>-9</v>
      </c>
      <c r="R16" s="31">
        <v>-10</v>
      </c>
      <c r="S16" s="31">
        <v>-11</v>
      </c>
      <c r="T16" s="31">
        <v>-12</v>
      </c>
      <c r="U16" s="31">
        <v>-13</v>
      </c>
      <c r="V16" s="31">
        <v>-14</v>
      </c>
      <c r="W16" s="31">
        <v>-15</v>
      </c>
      <c r="X16" s="31">
        <v>-16</v>
      </c>
      <c r="Y16" s="31">
        <v>-17</v>
      </c>
      <c r="Z16" s="31">
        <v>-18</v>
      </c>
      <c r="AA16" s="31">
        <v>-19</v>
      </c>
      <c r="AB16" s="31" t="s">
        <v>270</v>
      </c>
      <c r="AC16" s="33">
        <v>4400</v>
      </c>
      <c r="AD16" s="43">
        <v>52100</v>
      </c>
      <c r="AE16" s="31" t="s">
        <v>325</v>
      </c>
      <c r="AF16" s="31" t="s">
        <v>326</v>
      </c>
      <c r="AG16" s="31">
        <v>90</v>
      </c>
      <c r="AH16" s="31">
        <v>103</v>
      </c>
      <c r="AI16" s="31">
        <f t="shared" si="4"/>
        <v>96.5</v>
      </c>
      <c r="AJ16" s="31">
        <v>1.5</v>
      </c>
      <c r="AK16" s="31"/>
      <c r="AL16" s="31" t="s">
        <v>321</v>
      </c>
      <c r="AM16" s="31">
        <v>1800</v>
      </c>
      <c r="AN16" s="34">
        <v>1</v>
      </c>
      <c r="AO16">
        <v>12</v>
      </c>
      <c r="AP16" s="28" t="s">
        <v>30</v>
      </c>
    </row>
    <row r="17" spans="3:42" ht="25.5" x14ac:dyDescent="0.2">
      <c r="C17" s="30">
        <v>14</v>
      </c>
      <c r="D17" s="31">
        <v>13</v>
      </c>
      <c r="E17" s="31" t="s">
        <v>335</v>
      </c>
      <c r="F17" s="32" t="str">
        <f t="shared" si="0"/>
        <v>13 - Bouches-du-Rhône</v>
      </c>
      <c r="G17" s="30">
        <v>14</v>
      </c>
      <c r="H17" s="31" t="s">
        <v>323</v>
      </c>
      <c r="I17" s="31" t="s">
        <v>316</v>
      </c>
      <c r="J17" s="31">
        <v>0</v>
      </c>
      <c r="K17" s="31">
        <f t="shared" si="1"/>
        <v>14</v>
      </c>
      <c r="L17" s="31">
        <f t="shared" si="2"/>
        <v>-3</v>
      </c>
      <c r="M17" s="31">
        <f t="shared" si="3"/>
        <v>-12</v>
      </c>
      <c r="N17" s="31">
        <v>-3</v>
      </c>
      <c r="O17" s="35">
        <v>-5</v>
      </c>
      <c r="P17" s="31">
        <v>-5</v>
      </c>
      <c r="Q17" s="31">
        <v>-6</v>
      </c>
      <c r="R17" s="31">
        <v>-7</v>
      </c>
      <c r="S17" s="31">
        <v>-7</v>
      </c>
      <c r="T17" s="31">
        <v>-8</v>
      </c>
      <c r="U17" s="31">
        <v>-8</v>
      </c>
      <c r="V17" s="31">
        <v>-9</v>
      </c>
      <c r="W17" s="31">
        <v>-9</v>
      </c>
      <c r="X17" s="31">
        <v>-10</v>
      </c>
      <c r="Y17" s="31">
        <v>-10</v>
      </c>
      <c r="Z17" s="31">
        <v>-11</v>
      </c>
      <c r="AA17" s="31">
        <v>-11</v>
      </c>
      <c r="AB17" s="31">
        <v>-12</v>
      </c>
      <c r="AC17" s="33">
        <v>4000</v>
      </c>
      <c r="AD17" s="43">
        <v>36000</v>
      </c>
      <c r="AE17" s="31"/>
      <c r="AF17" s="31"/>
      <c r="AG17" s="31">
        <v>132</v>
      </c>
      <c r="AH17" s="31"/>
      <c r="AI17" s="31">
        <f t="shared" si="4"/>
        <v>132</v>
      </c>
      <c r="AJ17" s="31">
        <v>1.8</v>
      </c>
      <c r="AK17" s="31">
        <v>5</v>
      </c>
      <c r="AL17" s="31" t="s">
        <v>317</v>
      </c>
      <c r="AM17" s="31">
        <v>2200</v>
      </c>
      <c r="AN17" s="34">
        <v>1</v>
      </c>
      <c r="AO17">
        <v>13</v>
      </c>
      <c r="AP17" s="38" t="s">
        <v>31</v>
      </c>
    </row>
    <row r="18" spans="3:42" x14ac:dyDescent="0.2">
      <c r="C18" s="30">
        <v>15</v>
      </c>
      <c r="D18" s="31">
        <v>14</v>
      </c>
      <c r="E18" s="31" t="s">
        <v>336</v>
      </c>
      <c r="F18" s="32" t="str">
        <f t="shared" si="0"/>
        <v>14 - Calvados</v>
      </c>
      <c r="G18" s="30">
        <v>15</v>
      </c>
      <c r="H18" s="31" t="s">
        <v>308</v>
      </c>
      <c r="I18" s="31" t="s">
        <v>312</v>
      </c>
      <c r="J18" s="31">
        <v>0</v>
      </c>
      <c r="K18" s="31">
        <f t="shared" si="1"/>
        <v>3</v>
      </c>
      <c r="L18" s="31">
        <f t="shared" si="2"/>
        <v>-5</v>
      </c>
      <c r="M18" s="31">
        <f t="shared" si="3"/>
        <v>-8</v>
      </c>
      <c r="N18" s="31">
        <v>-5</v>
      </c>
      <c r="O18" s="35">
        <v>-7</v>
      </c>
      <c r="P18" s="31">
        <v>-7</v>
      </c>
      <c r="Q18" s="31">
        <v>-8</v>
      </c>
      <c r="R18" s="31" t="s">
        <v>270</v>
      </c>
      <c r="S18" s="31" t="s">
        <v>270</v>
      </c>
      <c r="T18" s="31" t="s">
        <v>270</v>
      </c>
      <c r="U18" s="31" t="s">
        <v>270</v>
      </c>
      <c r="V18" s="31" t="s">
        <v>270</v>
      </c>
      <c r="W18" s="31" t="s">
        <v>270</v>
      </c>
      <c r="X18" s="31" t="s">
        <v>270</v>
      </c>
      <c r="Y18" s="31" t="s">
        <v>270</v>
      </c>
      <c r="Z18" s="31" t="s">
        <v>270</v>
      </c>
      <c r="AA18" s="31" t="s">
        <v>270</v>
      </c>
      <c r="AB18" s="31" t="s">
        <v>270</v>
      </c>
      <c r="AC18" s="33">
        <v>5700</v>
      </c>
      <c r="AD18" s="43">
        <v>57900</v>
      </c>
      <c r="AE18" s="31"/>
      <c r="AF18" s="31"/>
      <c r="AG18" s="31">
        <v>79</v>
      </c>
      <c r="AH18" s="31"/>
      <c r="AI18" s="31">
        <f t="shared" si="4"/>
        <v>79</v>
      </c>
      <c r="AJ18" s="31"/>
      <c r="AK18" s="31">
        <v>5</v>
      </c>
      <c r="AL18" s="31" t="s">
        <v>306</v>
      </c>
      <c r="AM18" s="31">
        <v>1250</v>
      </c>
      <c r="AN18" s="34">
        <v>1</v>
      </c>
    </row>
    <row r="19" spans="3:42" x14ac:dyDescent="0.2">
      <c r="C19" s="30">
        <v>16</v>
      </c>
      <c r="D19" s="31">
        <v>15</v>
      </c>
      <c r="E19" s="31" t="s">
        <v>0</v>
      </c>
      <c r="F19" s="32" t="str">
        <f t="shared" si="0"/>
        <v>15 - Cantal</v>
      </c>
      <c r="G19" s="30">
        <v>16</v>
      </c>
      <c r="H19" s="31" t="s">
        <v>308</v>
      </c>
      <c r="I19" s="31" t="s">
        <v>309</v>
      </c>
      <c r="J19" s="31">
        <v>0</v>
      </c>
      <c r="K19" s="31">
        <f t="shared" si="1"/>
        <v>13</v>
      </c>
      <c r="L19" s="31">
        <f t="shared" si="2"/>
        <v>-8</v>
      </c>
      <c r="M19" s="31">
        <f t="shared" si="3"/>
        <v>-19</v>
      </c>
      <c r="N19" s="31" t="s">
        <v>270</v>
      </c>
      <c r="O19" s="35" t="s">
        <v>270</v>
      </c>
      <c r="P19" s="31">
        <v>-8</v>
      </c>
      <c r="Q19" s="31">
        <v>-9</v>
      </c>
      <c r="R19" s="31">
        <v>-10</v>
      </c>
      <c r="S19" s="31">
        <v>-11</v>
      </c>
      <c r="T19" s="31">
        <v>-12</v>
      </c>
      <c r="U19" s="31">
        <v>-13</v>
      </c>
      <c r="V19" s="31">
        <v>-14</v>
      </c>
      <c r="W19" s="31">
        <v>-15</v>
      </c>
      <c r="X19" s="31">
        <v>-16</v>
      </c>
      <c r="Y19" s="31">
        <v>-17</v>
      </c>
      <c r="Z19" s="31">
        <v>-18</v>
      </c>
      <c r="AA19" s="31">
        <v>-19</v>
      </c>
      <c r="AB19" s="31" t="s">
        <v>270</v>
      </c>
      <c r="AC19" s="33">
        <v>5000</v>
      </c>
      <c r="AD19" s="43">
        <v>57600</v>
      </c>
      <c r="AE19" s="31"/>
      <c r="AF19" s="31"/>
      <c r="AG19" s="31">
        <v>87</v>
      </c>
      <c r="AH19" s="31"/>
      <c r="AI19" s="31">
        <f t="shared" si="4"/>
        <v>87</v>
      </c>
      <c r="AJ19" s="31">
        <v>1.5</v>
      </c>
      <c r="AK19" s="31"/>
      <c r="AL19" s="31" t="s">
        <v>310</v>
      </c>
      <c r="AM19" s="31">
        <v>1450</v>
      </c>
      <c r="AN19" s="34">
        <v>1.1000000000000001</v>
      </c>
    </row>
    <row r="20" spans="3:42" x14ac:dyDescent="0.2">
      <c r="C20" s="30">
        <v>17</v>
      </c>
      <c r="D20" s="31">
        <v>16</v>
      </c>
      <c r="E20" s="31" t="s">
        <v>1</v>
      </c>
      <c r="F20" s="32" t="str">
        <f t="shared" si="0"/>
        <v>16 - Charente</v>
      </c>
      <c r="G20" s="30">
        <v>17</v>
      </c>
      <c r="H20" s="31" t="s">
        <v>315</v>
      </c>
      <c r="I20" s="31" t="s">
        <v>309</v>
      </c>
      <c r="J20" s="31">
        <v>0</v>
      </c>
      <c r="K20" s="31">
        <f t="shared" si="1"/>
        <v>3</v>
      </c>
      <c r="L20" s="31">
        <f t="shared" si="2"/>
        <v>-5</v>
      </c>
      <c r="M20" s="31">
        <f t="shared" si="3"/>
        <v>-6</v>
      </c>
      <c r="N20" s="31" t="s">
        <v>270</v>
      </c>
      <c r="O20" s="35" t="s">
        <v>270</v>
      </c>
      <c r="P20" s="31">
        <v>-5</v>
      </c>
      <c r="Q20" s="31">
        <v>-6</v>
      </c>
      <c r="R20" s="31" t="s">
        <v>270</v>
      </c>
      <c r="S20" s="31" t="s">
        <v>270</v>
      </c>
      <c r="T20" s="31" t="s">
        <v>270</v>
      </c>
      <c r="U20" s="31" t="s">
        <v>270</v>
      </c>
      <c r="V20" s="31" t="s">
        <v>270</v>
      </c>
      <c r="W20" s="31" t="s">
        <v>270</v>
      </c>
      <c r="X20" s="31" t="s">
        <v>270</v>
      </c>
      <c r="Y20" s="31" t="s">
        <v>270</v>
      </c>
      <c r="Z20" s="31" t="s">
        <v>270</v>
      </c>
      <c r="AA20" s="31" t="s">
        <v>270</v>
      </c>
      <c r="AB20" s="31" t="s">
        <v>270</v>
      </c>
      <c r="AC20" s="33">
        <v>5000</v>
      </c>
      <c r="AD20" s="43">
        <v>49800</v>
      </c>
      <c r="AE20" s="31"/>
      <c r="AF20" s="31"/>
      <c r="AG20" s="31">
        <v>87</v>
      </c>
      <c r="AH20" s="31"/>
      <c r="AI20" s="31">
        <f t="shared" si="4"/>
        <v>87</v>
      </c>
      <c r="AJ20" s="31"/>
      <c r="AK20" s="31"/>
      <c r="AL20" s="31" t="s">
        <v>310</v>
      </c>
      <c r="AM20" s="31">
        <v>1450</v>
      </c>
      <c r="AN20" s="34">
        <v>1</v>
      </c>
    </row>
    <row r="21" spans="3:42" x14ac:dyDescent="0.2">
      <c r="C21" s="30">
        <v>18</v>
      </c>
      <c r="D21" s="31">
        <v>17</v>
      </c>
      <c r="E21" s="31" t="s">
        <v>2</v>
      </c>
      <c r="F21" s="32" t="str">
        <f t="shared" si="0"/>
        <v>17 - Charente-Maritime</v>
      </c>
      <c r="G21" s="30">
        <v>18</v>
      </c>
      <c r="H21" s="31" t="s">
        <v>315</v>
      </c>
      <c r="I21" s="31" t="s">
        <v>309</v>
      </c>
      <c r="J21" s="31">
        <v>2</v>
      </c>
      <c r="K21" s="31">
        <f t="shared" si="1"/>
        <v>2</v>
      </c>
      <c r="L21" s="31">
        <f t="shared" si="2"/>
        <v>-2</v>
      </c>
      <c r="M21" s="31">
        <f t="shared" si="3"/>
        <v>-5</v>
      </c>
      <c r="N21" s="31">
        <v>-2</v>
      </c>
      <c r="O21" s="35">
        <v>-4</v>
      </c>
      <c r="P21" s="31">
        <v>-5</v>
      </c>
      <c r="Q21" s="31" t="s">
        <v>270</v>
      </c>
      <c r="R21" s="31" t="s">
        <v>270</v>
      </c>
      <c r="S21" s="31" t="s">
        <v>270</v>
      </c>
      <c r="T21" s="31" t="s">
        <v>270</v>
      </c>
      <c r="U21" s="31" t="s">
        <v>270</v>
      </c>
      <c r="V21" s="31" t="s">
        <v>270</v>
      </c>
      <c r="W21" s="31" t="s">
        <v>270</v>
      </c>
      <c r="X21" s="31" t="s">
        <v>270</v>
      </c>
      <c r="Y21" s="31" t="s">
        <v>270</v>
      </c>
      <c r="Z21" s="31" t="s">
        <v>270</v>
      </c>
      <c r="AA21" s="31" t="s">
        <v>270</v>
      </c>
      <c r="AB21" s="31" t="s">
        <v>270</v>
      </c>
      <c r="AC21" s="33">
        <v>5000</v>
      </c>
      <c r="AD21" s="43">
        <v>44300</v>
      </c>
      <c r="AE21" s="31"/>
      <c r="AF21" s="31"/>
      <c r="AG21" s="31">
        <v>88</v>
      </c>
      <c r="AH21" s="31"/>
      <c r="AI21" s="31">
        <f t="shared" si="4"/>
        <v>88</v>
      </c>
      <c r="AJ21" s="31"/>
      <c r="AK21" s="31">
        <v>5</v>
      </c>
      <c r="AL21" s="31" t="s">
        <v>321</v>
      </c>
      <c r="AM21" s="31">
        <v>1800</v>
      </c>
      <c r="AN21" s="34">
        <v>1.1000000000000001</v>
      </c>
    </row>
    <row r="22" spans="3:42" x14ac:dyDescent="0.2">
      <c r="C22" s="30">
        <v>19</v>
      </c>
      <c r="D22" s="31">
        <v>18</v>
      </c>
      <c r="E22" s="31" t="s">
        <v>3</v>
      </c>
      <c r="F22" s="32" t="str">
        <f t="shared" si="0"/>
        <v>18 - Cher</v>
      </c>
      <c r="G22" s="30">
        <v>19</v>
      </c>
      <c r="H22" s="31" t="s">
        <v>315</v>
      </c>
      <c r="I22" s="31" t="s">
        <v>328</v>
      </c>
      <c r="J22" s="31">
        <v>0</v>
      </c>
      <c r="K22" s="31">
        <f t="shared" si="1"/>
        <v>4</v>
      </c>
      <c r="L22" s="31">
        <f t="shared" si="2"/>
        <v>-7</v>
      </c>
      <c r="M22" s="31">
        <f t="shared" si="3"/>
        <v>-9</v>
      </c>
      <c r="N22" s="31" t="s">
        <v>270</v>
      </c>
      <c r="O22" s="35" t="s">
        <v>270</v>
      </c>
      <c r="P22" s="31">
        <v>-7</v>
      </c>
      <c r="Q22" s="31">
        <v>-8</v>
      </c>
      <c r="R22" s="31">
        <v>-9</v>
      </c>
      <c r="S22" s="31" t="s">
        <v>270</v>
      </c>
      <c r="T22" s="31" t="s">
        <v>270</v>
      </c>
      <c r="U22" s="31" t="s">
        <v>270</v>
      </c>
      <c r="V22" s="31" t="s">
        <v>270</v>
      </c>
      <c r="W22" s="31" t="s">
        <v>270</v>
      </c>
      <c r="X22" s="31" t="s">
        <v>270</v>
      </c>
      <c r="Y22" s="31" t="s">
        <v>270</v>
      </c>
      <c r="Z22" s="31" t="s">
        <v>270</v>
      </c>
      <c r="AA22" s="31" t="s">
        <v>270</v>
      </c>
      <c r="AB22" s="31" t="s">
        <v>270</v>
      </c>
      <c r="AC22" s="33">
        <v>5300</v>
      </c>
      <c r="AD22" s="43">
        <v>58000</v>
      </c>
      <c r="AE22" s="31"/>
      <c r="AF22" s="31"/>
      <c r="AG22" s="31">
        <v>79</v>
      </c>
      <c r="AH22" s="31"/>
      <c r="AI22" s="31">
        <f t="shared" si="4"/>
        <v>79</v>
      </c>
      <c r="AJ22" s="31"/>
      <c r="AK22" s="31"/>
      <c r="AL22" s="31" t="s">
        <v>310</v>
      </c>
      <c r="AM22" s="31">
        <v>1450</v>
      </c>
      <c r="AN22" s="34">
        <v>1</v>
      </c>
    </row>
    <row r="23" spans="3:42" x14ac:dyDescent="0.2">
      <c r="C23" s="30">
        <v>20</v>
      </c>
      <c r="D23" s="31">
        <v>19</v>
      </c>
      <c r="E23" s="31" t="s">
        <v>4</v>
      </c>
      <c r="F23" s="32" t="str">
        <f t="shared" si="0"/>
        <v>19 - Corrèze</v>
      </c>
      <c r="G23" s="30">
        <v>20</v>
      </c>
      <c r="H23" s="31" t="s">
        <v>308</v>
      </c>
      <c r="I23" s="31" t="s">
        <v>309</v>
      </c>
      <c r="J23" s="31">
        <v>0</v>
      </c>
      <c r="K23" s="31">
        <f t="shared" si="1"/>
        <v>13</v>
      </c>
      <c r="L23" s="31">
        <f t="shared" si="2"/>
        <v>-8</v>
      </c>
      <c r="M23" s="31">
        <f t="shared" si="3"/>
        <v>-19</v>
      </c>
      <c r="N23" s="31" t="s">
        <v>270</v>
      </c>
      <c r="O23" s="35" t="s">
        <v>270</v>
      </c>
      <c r="P23" s="31">
        <v>-8</v>
      </c>
      <c r="Q23" s="31">
        <v>-9</v>
      </c>
      <c r="R23" s="31">
        <v>-10</v>
      </c>
      <c r="S23" s="31">
        <v>-11</v>
      </c>
      <c r="T23" s="31">
        <v>-12</v>
      </c>
      <c r="U23" s="31">
        <v>-13</v>
      </c>
      <c r="V23" s="31">
        <v>-14</v>
      </c>
      <c r="W23" s="31">
        <v>-15</v>
      </c>
      <c r="X23" s="31">
        <v>-16</v>
      </c>
      <c r="Y23" s="31">
        <v>-17</v>
      </c>
      <c r="Z23" s="31">
        <v>-18</v>
      </c>
      <c r="AA23" s="31">
        <v>-19</v>
      </c>
      <c r="AB23" s="31" t="s">
        <v>270</v>
      </c>
      <c r="AC23" s="33">
        <v>5000</v>
      </c>
      <c r="AD23" s="43">
        <v>54000</v>
      </c>
      <c r="AE23" s="31"/>
      <c r="AF23" s="31"/>
      <c r="AG23" s="31">
        <v>85</v>
      </c>
      <c r="AH23" s="31"/>
      <c r="AI23" s="31">
        <f t="shared" si="4"/>
        <v>85</v>
      </c>
      <c r="AJ23" s="31">
        <v>1.5</v>
      </c>
      <c r="AK23" s="31"/>
      <c r="AL23" s="31" t="s">
        <v>310</v>
      </c>
      <c r="AM23" s="31">
        <v>1450</v>
      </c>
      <c r="AN23" s="34">
        <v>1.2</v>
      </c>
    </row>
    <row r="24" spans="3:42" x14ac:dyDescent="0.2">
      <c r="C24" s="30">
        <v>21</v>
      </c>
      <c r="D24" s="31" t="s">
        <v>5</v>
      </c>
      <c r="E24" s="31" t="s">
        <v>6</v>
      </c>
      <c r="F24" s="32" t="str">
        <f t="shared" si="0"/>
        <v>2A - Corse-du-Sud</v>
      </c>
      <c r="G24" s="30">
        <v>21</v>
      </c>
      <c r="H24" s="35" t="s">
        <v>323</v>
      </c>
      <c r="I24" s="35" t="s">
        <v>316</v>
      </c>
      <c r="J24" s="31">
        <v>1</v>
      </c>
      <c r="K24" s="31">
        <f t="shared" si="1"/>
        <v>7</v>
      </c>
      <c r="L24" s="31">
        <f t="shared" si="2"/>
        <v>-2</v>
      </c>
      <c r="M24" s="31">
        <f t="shared" si="3"/>
        <v>-6</v>
      </c>
      <c r="N24" s="31" t="s">
        <v>270</v>
      </c>
      <c r="O24" s="35">
        <v>-2</v>
      </c>
      <c r="P24" s="31">
        <v>-2</v>
      </c>
      <c r="Q24" s="31">
        <v>-3</v>
      </c>
      <c r="R24" s="31">
        <v>-4</v>
      </c>
      <c r="S24" s="31">
        <v>-4</v>
      </c>
      <c r="T24" s="31">
        <v>-5</v>
      </c>
      <c r="U24" s="31">
        <v>-6</v>
      </c>
      <c r="V24" s="35">
        <v>-6</v>
      </c>
      <c r="W24" s="35">
        <v>-6</v>
      </c>
      <c r="X24" s="35">
        <v>-6</v>
      </c>
      <c r="Y24" s="35">
        <v>-6</v>
      </c>
      <c r="Z24" s="35">
        <v>-6</v>
      </c>
      <c r="AA24" s="35">
        <v>-6</v>
      </c>
      <c r="AB24" s="35">
        <v>-6</v>
      </c>
      <c r="AC24" s="37">
        <v>4200</v>
      </c>
      <c r="AD24" s="44">
        <v>34000</v>
      </c>
      <c r="AE24" s="35"/>
      <c r="AF24" s="35"/>
      <c r="AG24" s="35">
        <v>126</v>
      </c>
      <c r="AH24" s="35"/>
      <c r="AI24" s="31">
        <f t="shared" si="4"/>
        <v>126</v>
      </c>
      <c r="AJ24" s="35">
        <v>1.8</v>
      </c>
      <c r="AK24" s="35">
        <v>5</v>
      </c>
      <c r="AL24" s="35" t="s">
        <v>317</v>
      </c>
      <c r="AM24" s="31">
        <v>2200</v>
      </c>
      <c r="AN24" s="34">
        <v>1.1000000000000001</v>
      </c>
    </row>
    <row r="25" spans="3:42" x14ac:dyDescent="0.2">
      <c r="C25" s="30">
        <v>22</v>
      </c>
      <c r="D25" s="31" t="s">
        <v>7</v>
      </c>
      <c r="E25" s="31" t="s">
        <v>8</v>
      </c>
      <c r="F25" s="32" t="str">
        <f t="shared" si="0"/>
        <v>2B - Haute-Corse</v>
      </c>
      <c r="G25" s="30">
        <v>22</v>
      </c>
      <c r="H25" s="35" t="s">
        <v>323</v>
      </c>
      <c r="I25" s="35" t="s">
        <v>316</v>
      </c>
      <c r="J25" s="31">
        <v>1</v>
      </c>
      <c r="K25" s="31">
        <f t="shared" si="1"/>
        <v>7</v>
      </c>
      <c r="L25" s="31">
        <f t="shared" si="2"/>
        <v>-2</v>
      </c>
      <c r="M25" s="31">
        <f t="shared" si="3"/>
        <v>-6</v>
      </c>
      <c r="N25" s="31" t="s">
        <v>270</v>
      </c>
      <c r="O25" s="35">
        <v>-2</v>
      </c>
      <c r="P25" s="31">
        <v>-2</v>
      </c>
      <c r="Q25" s="31">
        <v>-3</v>
      </c>
      <c r="R25" s="31">
        <v>-4</v>
      </c>
      <c r="S25" s="31">
        <v>-4</v>
      </c>
      <c r="T25" s="31">
        <v>-5</v>
      </c>
      <c r="U25" s="31">
        <v>-6</v>
      </c>
      <c r="V25" s="35">
        <v>-6</v>
      </c>
      <c r="W25" s="35">
        <v>-6</v>
      </c>
      <c r="X25" s="35">
        <v>-6</v>
      </c>
      <c r="Y25" s="35">
        <v>-6</v>
      </c>
      <c r="Z25" s="35">
        <v>-6</v>
      </c>
      <c r="AA25" s="35">
        <v>-6</v>
      </c>
      <c r="AB25" s="35">
        <v>-6</v>
      </c>
      <c r="AC25" s="37">
        <v>4000</v>
      </c>
      <c r="AD25" s="44">
        <v>32000</v>
      </c>
      <c r="AE25" s="35"/>
      <c r="AF25" s="35"/>
      <c r="AG25" s="35">
        <v>126</v>
      </c>
      <c r="AH25" s="35"/>
      <c r="AI25" s="31">
        <f t="shared" si="4"/>
        <v>126</v>
      </c>
      <c r="AJ25" s="35">
        <v>1.8</v>
      </c>
      <c r="AK25" s="35">
        <v>5</v>
      </c>
      <c r="AL25" s="35" t="s">
        <v>317</v>
      </c>
      <c r="AM25" s="31">
        <v>2200</v>
      </c>
      <c r="AN25" s="34">
        <v>1.1000000000000001</v>
      </c>
    </row>
    <row r="26" spans="3:42" x14ac:dyDescent="0.2">
      <c r="C26" s="30">
        <v>23</v>
      </c>
      <c r="D26" s="31">
        <v>21</v>
      </c>
      <c r="E26" s="31" t="s">
        <v>9</v>
      </c>
      <c r="F26" s="32" t="str">
        <f t="shared" si="0"/>
        <v>21 - Côte-d'Or</v>
      </c>
      <c r="G26" s="30">
        <v>23</v>
      </c>
      <c r="H26" s="31" t="s">
        <v>308</v>
      </c>
      <c r="I26" s="31" t="s">
        <v>309</v>
      </c>
      <c r="J26" s="31">
        <v>2</v>
      </c>
      <c r="K26" s="31">
        <f t="shared" si="1"/>
        <v>6</v>
      </c>
      <c r="L26" s="31">
        <f t="shared" si="2"/>
        <v>-10</v>
      </c>
      <c r="M26" s="31">
        <f t="shared" si="3"/>
        <v>-14</v>
      </c>
      <c r="N26" s="31" t="s">
        <v>270</v>
      </c>
      <c r="O26" s="35" t="s">
        <v>270</v>
      </c>
      <c r="P26" s="31">
        <v>-10</v>
      </c>
      <c r="Q26" s="31">
        <v>-11</v>
      </c>
      <c r="R26" s="31">
        <v>-12</v>
      </c>
      <c r="S26" s="31">
        <v>-13</v>
      </c>
      <c r="T26" s="31">
        <v>-14</v>
      </c>
      <c r="U26" s="31" t="s">
        <v>270</v>
      </c>
      <c r="V26" s="31" t="s">
        <v>270</v>
      </c>
      <c r="W26" s="31" t="s">
        <v>270</v>
      </c>
      <c r="X26" s="31" t="s">
        <v>270</v>
      </c>
      <c r="Y26" s="31" t="s">
        <v>270</v>
      </c>
      <c r="Z26" s="31" t="s">
        <v>270</v>
      </c>
      <c r="AA26" s="31" t="s">
        <v>270</v>
      </c>
      <c r="AB26" s="31" t="s">
        <v>270</v>
      </c>
      <c r="AC26" s="33">
        <v>4900</v>
      </c>
      <c r="AD26" s="43">
        <v>63000</v>
      </c>
      <c r="AE26" s="31"/>
      <c r="AF26" s="31"/>
      <c r="AG26" s="31">
        <v>73</v>
      </c>
      <c r="AH26" s="31"/>
      <c r="AI26" s="31">
        <f t="shared" si="4"/>
        <v>73</v>
      </c>
      <c r="AJ26" s="31">
        <v>1.5</v>
      </c>
      <c r="AK26" s="31"/>
      <c r="AL26" s="31" t="s">
        <v>310</v>
      </c>
      <c r="AM26" s="31">
        <v>1450</v>
      </c>
      <c r="AN26" s="34">
        <v>1</v>
      </c>
    </row>
    <row r="27" spans="3:42" x14ac:dyDescent="0.2">
      <c r="C27" s="30">
        <v>24</v>
      </c>
      <c r="D27" s="31">
        <v>22</v>
      </c>
      <c r="E27" s="31" t="s">
        <v>10</v>
      </c>
      <c r="F27" s="32" t="str">
        <f t="shared" si="0"/>
        <v>22 - Côtes-d'Armor</v>
      </c>
      <c r="G27" s="30">
        <v>24</v>
      </c>
      <c r="H27" s="31" t="s">
        <v>315</v>
      </c>
      <c r="I27" s="31" t="s">
        <v>312</v>
      </c>
      <c r="J27" s="31">
        <v>0</v>
      </c>
      <c r="K27" s="31">
        <f t="shared" si="1"/>
        <v>3</v>
      </c>
      <c r="L27" s="31">
        <f t="shared" si="2"/>
        <v>-2</v>
      </c>
      <c r="M27" s="31">
        <f t="shared" si="3"/>
        <v>-5</v>
      </c>
      <c r="N27" s="31">
        <v>-2</v>
      </c>
      <c r="O27" s="35">
        <v>-4</v>
      </c>
      <c r="P27" s="31">
        <v>-4</v>
      </c>
      <c r="Q27" s="31">
        <v>-5</v>
      </c>
      <c r="R27" s="31" t="s">
        <v>270</v>
      </c>
      <c r="S27" s="31" t="s">
        <v>270</v>
      </c>
      <c r="T27" s="31" t="s">
        <v>270</v>
      </c>
      <c r="U27" s="31" t="s">
        <v>270</v>
      </c>
      <c r="V27" s="31" t="s">
        <v>270</v>
      </c>
      <c r="W27" s="31" t="s">
        <v>270</v>
      </c>
      <c r="X27" s="31" t="s">
        <v>270</v>
      </c>
      <c r="Y27" s="31" t="s">
        <v>270</v>
      </c>
      <c r="Z27" s="31" t="s">
        <v>270</v>
      </c>
      <c r="AA27" s="31" t="s">
        <v>270</v>
      </c>
      <c r="AB27" s="31" t="s">
        <v>270</v>
      </c>
      <c r="AC27" s="33">
        <v>5400</v>
      </c>
      <c r="AD27" s="43">
        <v>48600</v>
      </c>
      <c r="AE27" s="31"/>
      <c r="AF27" s="31"/>
      <c r="AG27" s="31">
        <v>79</v>
      </c>
      <c r="AH27" s="31"/>
      <c r="AI27" s="31">
        <f t="shared" si="4"/>
        <v>79</v>
      </c>
      <c r="AJ27" s="31"/>
      <c r="AK27" s="31">
        <v>5</v>
      </c>
      <c r="AL27" s="31" t="s">
        <v>306</v>
      </c>
      <c r="AM27" s="31">
        <v>1250</v>
      </c>
      <c r="AN27" s="34">
        <v>1</v>
      </c>
    </row>
    <row r="28" spans="3:42" x14ac:dyDescent="0.2">
      <c r="C28" s="30">
        <v>25</v>
      </c>
      <c r="D28" s="31">
        <v>23</v>
      </c>
      <c r="E28" s="31" t="s">
        <v>11</v>
      </c>
      <c r="F28" s="32" t="str">
        <f t="shared" si="0"/>
        <v>23 - Creuse</v>
      </c>
      <c r="G28" s="30">
        <v>25</v>
      </c>
      <c r="H28" s="31" t="s">
        <v>308</v>
      </c>
      <c r="I28" s="31" t="s">
        <v>309</v>
      </c>
      <c r="J28" s="31">
        <v>2</v>
      </c>
      <c r="K28" s="31">
        <f t="shared" si="1"/>
        <v>13</v>
      </c>
      <c r="L28" s="31">
        <f t="shared" si="2"/>
        <v>-8</v>
      </c>
      <c r="M28" s="31">
        <f t="shared" si="3"/>
        <v>-19</v>
      </c>
      <c r="N28" s="31" t="s">
        <v>270</v>
      </c>
      <c r="O28" s="35" t="s">
        <v>270</v>
      </c>
      <c r="P28" s="31">
        <v>-8</v>
      </c>
      <c r="Q28" s="31">
        <v>-9</v>
      </c>
      <c r="R28" s="31">
        <v>-10</v>
      </c>
      <c r="S28" s="31">
        <v>-11</v>
      </c>
      <c r="T28" s="31">
        <v>-12</v>
      </c>
      <c r="U28" s="31">
        <v>-13</v>
      </c>
      <c r="V28" s="31">
        <v>-14</v>
      </c>
      <c r="W28" s="31">
        <v>-15</v>
      </c>
      <c r="X28" s="31">
        <v>-16</v>
      </c>
      <c r="Y28" s="31">
        <v>-17</v>
      </c>
      <c r="Z28" s="31">
        <v>-18</v>
      </c>
      <c r="AA28" s="31">
        <v>-19</v>
      </c>
      <c r="AB28" s="31" t="s">
        <v>270</v>
      </c>
      <c r="AC28" s="33">
        <v>5200</v>
      </c>
      <c r="AD28" s="43">
        <v>65000</v>
      </c>
      <c r="AE28" s="31"/>
      <c r="AF28" s="31"/>
      <c r="AG28" s="31">
        <v>84</v>
      </c>
      <c r="AH28" s="31"/>
      <c r="AI28" s="31">
        <f t="shared" si="4"/>
        <v>84</v>
      </c>
      <c r="AJ28" s="31">
        <v>1.5</v>
      </c>
      <c r="AK28" s="31"/>
      <c r="AL28" s="31" t="s">
        <v>310</v>
      </c>
      <c r="AM28" s="31">
        <v>1450</v>
      </c>
      <c r="AN28" s="34">
        <v>1.1000000000000001</v>
      </c>
    </row>
    <row r="29" spans="3:42" x14ac:dyDescent="0.2">
      <c r="C29" s="30">
        <v>26</v>
      </c>
      <c r="D29" s="31">
        <v>24</v>
      </c>
      <c r="E29" s="31" t="s">
        <v>12</v>
      </c>
      <c r="F29" s="32" t="str">
        <f t="shared" si="0"/>
        <v>24 - Dordogne</v>
      </c>
      <c r="G29" s="30">
        <v>26</v>
      </c>
      <c r="H29" s="31" t="s">
        <v>315</v>
      </c>
      <c r="I29" s="31" t="s">
        <v>309</v>
      </c>
      <c r="J29" s="31">
        <v>2</v>
      </c>
      <c r="K29" s="31">
        <f t="shared" si="1"/>
        <v>4</v>
      </c>
      <c r="L29" s="31">
        <f t="shared" si="2"/>
        <v>-5</v>
      </c>
      <c r="M29" s="31">
        <f t="shared" si="3"/>
        <v>-7</v>
      </c>
      <c r="N29" s="31" t="s">
        <v>270</v>
      </c>
      <c r="O29" s="35" t="s">
        <v>270</v>
      </c>
      <c r="P29" s="31">
        <v>-5</v>
      </c>
      <c r="Q29" s="31">
        <v>-6</v>
      </c>
      <c r="R29" s="31">
        <v>-7</v>
      </c>
      <c r="S29" s="31" t="s">
        <v>270</v>
      </c>
      <c r="T29" s="31" t="s">
        <v>270</v>
      </c>
      <c r="U29" s="31" t="s">
        <v>270</v>
      </c>
      <c r="V29" s="31" t="s">
        <v>270</v>
      </c>
      <c r="W29" s="31" t="s">
        <v>270</v>
      </c>
      <c r="X29" s="31" t="s">
        <v>270</v>
      </c>
      <c r="Y29" s="31" t="s">
        <v>270</v>
      </c>
      <c r="Z29" s="31" t="s">
        <v>270</v>
      </c>
      <c r="AA29" s="31" t="s">
        <v>270</v>
      </c>
      <c r="AB29" s="31" t="s">
        <v>270</v>
      </c>
      <c r="AC29" s="33">
        <v>5000</v>
      </c>
      <c r="AD29" s="43">
        <v>49900</v>
      </c>
      <c r="AE29" s="31"/>
      <c r="AF29" s="31"/>
      <c r="AG29" s="31">
        <v>87</v>
      </c>
      <c r="AH29" s="31"/>
      <c r="AI29" s="31">
        <f t="shared" si="4"/>
        <v>87</v>
      </c>
      <c r="AJ29" s="31"/>
      <c r="AK29" s="31"/>
      <c r="AL29" s="31" t="s">
        <v>310</v>
      </c>
      <c r="AM29" s="31">
        <v>1450</v>
      </c>
      <c r="AN29" s="34">
        <v>1</v>
      </c>
    </row>
    <row r="30" spans="3:42" x14ac:dyDescent="0.2">
      <c r="C30" s="30">
        <v>27</v>
      </c>
      <c r="D30" s="31">
        <v>25</v>
      </c>
      <c r="E30" s="31" t="s">
        <v>13</v>
      </c>
      <c r="F30" s="32" t="str">
        <f t="shared" si="0"/>
        <v>25 - Doubs</v>
      </c>
      <c r="G30" s="30">
        <v>27</v>
      </c>
      <c r="H30" s="31" t="s">
        <v>308</v>
      </c>
      <c r="I30" s="31" t="s">
        <v>309</v>
      </c>
      <c r="J30" s="31">
        <v>2</v>
      </c>
      <c r="K30" s="31">
        <f t="shared" si="1"/>
        <v>10</v>
      </c>
      <c r="L30" s="31">
        <f t="shared" si="2"/>
        <v>-12</v>
      </c>
      <c r="M30" s="31">
        <f t="shared" si="3"/>
        <v>-20</v>
      </c>
      <c r="N30" s="31" t="s">
        <v>270</v>
      </c>
      <c r="O30" s="35" t="s">
        <v>270</v>
      </c>
      <c r="P30" s="31">
        <v>-12</v>
      </c>
      <c r="Q30" s="31">
        <v>-13</v>
      </c>
      <c r="R30" s="31">
        <v>-14</v>
      </c>
      <c r="S30" s="31">
        <v>-15</v>
      </c>
      <c r="T30" s="31">
        <v>-16</v>
      </c>
      <c r="U30" s="31">
        <v>-17</v>
      </c>
      <c r="V30" s="31">
        <v>-18</v>
      </c>
      <c r="W30" s="31">
        <v>-19</v>
      </c>
      <c r="X30" s="31">
        <v>-20</v>
      </c>
      <c r="Y30" s="31" t="s">
        <v>270</v>
      </c>
      <c r="Z30" s="31" t="s">
        <v>270</v>
      </c>
      <c r="AA30" s="31" t="s">
        <v>270</v>
      </c>
      <c r="AB30" s="31" t="s">
        <v>270</v>
      </c>
      <c r="AC30" s="33">
        <v>5000</v>
      </c>
      <c r="AD30" s="43">
        <v>65300</v>
      </c>
      <c r="AE30" s="31"/>
      <c r="AF30" s="31"/>
      <c r="AG30" s="31">
        <v>71</v>
      </c>
      <c r="AH30" s="31"/>
      <c r="AI30" s="31">
        <f t="shared" si="4"/>
        <v>71</v>
      </c>
      <c r="AJ30" s="31">
        <v>1.5</v>
      </c>
      <c r="AK30" s="31"/>
      <c r="AL30" s="31" t="s">
        <v>310</v>
      </c>
      <c r="AM30" s="31">
        <v>1450</v>
      </c>
      <c r="AN30" s="34">
        <v>1</v>
      </c>
    </row>
    <row r="31" spans="3:42" x14ac:dyDescent="0.2">
      <c r="C31" s="30">
        <v>28</v>
      </c>
      <c r="D31" s="31">
        <v>26</v>
      </c>
      <c r="E31" s="31" t="s">
        <v>419</v>
      </c>
      <c r="F31" s="32" t="str">
        <f t="shared" si="0"/>
        <v>26 - Drôme</v>
      </c>
      <c r="G31" s="30">
        <v>28</v>
      </c>
      <c r="H31" s="31" t="s">
        <v>315</v>
      </c>
      <c r="I31" s="31" t="s">
        <v>316</v>
      </c>
      <c r="J31" s="31">
        <v>2</v>
      </c>
      <c r="K31" s="31">
        <f t="shared" si="1"/>
        <v>10</v>
      </c>
      <c r="L31" s="31">
        <f t="shared" si="2"/>
        <v>-6</v>
      </c>
      <c r="M31" s="31">
        <f t="shared" si="3"/>
        <v>-14</v>
      </c>
      <c r="N31" s="31" t="s">
        <v>270</v>
      </c>
      <c r="O31" s="35" t="s">
        <v>270</v>
      </c>
      <c r="P31" s="31">
        <v>-6</v>
      </c>
      <c r="Q31" s="31">
        <v>-7</v>
      </c>
      <c r="R31" s="31">
        <v>-8</v>
      </c>
      <c r="S31" s="31">
        <v>-9</v>
      </c>
      <c r="T31" s="31">
        <v>-10</v>
      </c>
      <c r="U31" s="31">
        <v>-11</v>
      </c>
      <c r="V31" s="31">
        <v>-12</v>
      </c>
      <c r="W31" s="31">
        <v>-13</v>
      </c>
      <c r="X31" s="31">
        <v>-14</v>
      </c>
      <c r="Y31" s="31" t="s">
        <v>270</v>
      </c>
      <c r="Z31" s="31" t="s">
        <v>270</v>
      </c>
      <c r="AA31" s="31" t="s">
        <v>270</v>
      </c>
      <c r="AB31" s="31" t="s">
        <v>270</v>
      </c>
      <c r="AC31" s="33">
        <v>4800</v>
      </c>
      <c r="AD31" s="43">
        <v>50900</v>
      </c>
      <c r="AE31" s="31" t="s">
        <v>325</v>
      </c>
      <c r="AF31" s="31" t="s">
        <v>326</v>
      </c>
      <c r="AG31" s="31">
        <v>100</v>
      </c>
      <c r="AH31" s="31">
        <v>120</v>
      </c>
      <c r="AI31" s="31">
        <f t="shared" si="4"/>
        <v>110</v>
      </c>
      <c r="AJ31" s="31">
        <v>1.5</v>
      </c>
      <c r="AK31" s="31"/>
      <c r="AL31" s="31" t="s">
        <v>321</v>
      </c>
      <c r="AM31" s="31">
        <v>1800</v>
      </c>
      <c r="AN31" s="34">
        <v>1</v>
      </c>
    </row>
    <row r="32" spans="3:42" x14ac:dyDescent="0.2">
      <c r="C32" s="30">
        <v>29</v>
      </c>
      <c r="D32" s="31">
        <v>27</v>
      </c>
      <c r="E32" s="31" t="s">
        <v>420</v>
      </c>
      <c r="F32" s="32" t="str">
        <f t="shared" si="0"/>
        <v>27 - Eure</v>
      </c>
      <c r="G32" s="30">
        <v>29</v>
      </c>
      <c r="H32" s="31" t="s">
        <v>308</v>
      </c>
      <c r="I32" s="31" t="s">
        <v>312</v>
      </c>
      <c r="J32" s="31">
        <v>2</v>
      </c>
      <c r="K32" s="31">
        <f t="shared" si="1"/>
        <v>3</v>
      </c>
      <c r="L32" s="31">
        <f t="shared" si="2"/>
        <v>-7</v>
      </c>
      <c r="M32" s="31">
        <f t="shared" si="3"/>
        <v>-8</v>
      </c>
      <c r="N32" s="31" t="s">
        <v>270</v>
      </c>
      <c r="O32" s="35" t="s">
        <v>270</v>
      </c>
      <c r="P32" s="31">
        <v>-7</v>
      </c>
      <c r="Q32" s="31">
        <v>-8</v>
      </c>
      <c r="R32" s="31" t="s">
        <v>270</v>
      </c>
      <c r="S32" s="31" t="s">
        <v>270</v>
      </c>
      <c r="T32" s="31" t="s">
        <v>270</v>
      </c>
      <c r="U32" s="31" t="s">
        <v>270</v>
      </c>
      <c r="V32" s="31" t="s">
        <v>270</v>
      </c>
      <c r="W32" s="31" t="s">
        <v>270</v>
      </c>
      <c r="X32" s="31" t="s">
        <v>270</v>
      </c>
      <c r="Y32" s="31" t="s">
        <v>270</v>
      </c>
      <c r="Z32" s="31" t="s">
        <v>270</v>
      </c>
      <c r="AA32" s="31" t="s">
        <v>270</v>
      </c>
      <c r="AB32" s="31" t="s">
        <v>270</v>
      </c>
      <c r="AC32" s="33">
        <v>5500</v>
      </c>
      <c r="AD32" s="43">
        <v>60000</v>
      </c>
      <c r="AE32" s="31"/>
      <c r="AF32" s="31"/>
      <c r="AG32" s="31">
        <v>78</v>
      </c>
      <c r="AH32" s="31"/>
      <c r="AI32" s="31">
        <f t="shared" si="4"/>
        <v>78</v>
      </c>
      <c r="AJ32" s="31"/>
      <c r="AK32" s="31">
        <v>5</v>
      </c>
      <c r="AL32" s="31" t="s">
        <v>306</v>
      </c>
      <c r="AM32" s="31">
        <v>1250</v>
      </c>
      <c r="AN32" s="34">
        <v>1</v>
      </c>
    </row>
    <row r="33" spans="3:40" x14ac:dyDescent="0.2">
      <c r="C33" s="30">
        <v>30</v>
      </c>
      <c r="D33" s="31">
        <v>28</v>
      </c>
      <c r="E33" s="31" t="s">
        <v>421</v>
      </c>
      <c r="F33" s="32" t="str">
        <f t="shared" si="0"/>
        <v>28 - Eure-et-Loire</v>
      </c>
      <c r="G33" s="30">
        <v>30</v>
      </c>
      <c r="H33" s="31" t="s">
        <v>308</v>
      </c>
      <c r="I33" s="31" t="s">
        <v>328</v>
      </c>
      <c r="J33" s="31">
        <v>2</v>
      </c>
      <c r="K33" s="31">
        <f t="shared" si="1"/>
        <v>3</v>
      </c>
      <c r="L33" s="31">
        <f t="shared" si="2"/>
        <v>-7</v>
      </c>
      <c r="M33" s="31">
        <f t="shared" si="3"/>
        <v>-8</v>
      </c>
      <c r="N33" s="31" t="s">
        <v>270</v>
      </c>
      <c r="O33" s="35" t="s">
        <v>270</v>
      </c>
      <c r="P33" s="31">
        <v>-7</v>
      </c>
      <c r="Q33" s="31">
        <v>-8</v>
      </c>
      <c r="R33" s="31" t="s">
        <v>270</v>
      </c>
      <c r="S33" s="31" t="s">
        <v>270</v>
      </c>
      <c r="T33" s="31" t="s">
        <v>270</v>
      </c>
      <c r="U33" s="31" t="s">
        <v>270</v>
      </c>
      <c r="V33" s="31" t="s">
        <v>270</v>
      </c>
      <c r="W33" s="31" t="s">
        <v>270</v>
      </c>
      <c r="X33" s="31" t="s">
        <v>270</v>
      </c>
      <c r="Y33" s="31" t="s">
        <v>270</v>
      </c>
      <c r="Z33" s="31" t="s">
        <v>270</v>
      </c>
      <c r="AA33" s="31" t="s">
        <v>270</v>
      </c>
      <c r="AB33" s="31" t="s">
        <v>270</v>
      </c>
      <c r="AC33" s="33">
        <v>5600</v>
      </c>
      <c r="AD33" s="43">
        <v>60504</v>
      </c>
      <c r="AE33" s="31"/>
      <c r="AF33" s="31"/>
      <c r="AG33" s="31">
        <v>78</v>
      </c>
      <c r="AH33" s="31"/>
      <c r="AI33" s="31">
        <f t="shared" si="4"/>
        <v>78</v>
      </c>
      <c r="AJ33" s="31"/>
      <c r="AK33" s="31"/>
      <c r="AL33" s="31" t="s">
        <v>310</v>
      </c>
      <c r="AM33" s="31">
        <v>1450</v>
      </c>
      <c r="AN33" s="34">
        <v>1</v>
      </c>
    </row>
    <row r="34" spans="3:40" x14ac:dyDescent="0.2">
      <c r="C34" s="30">
        <v>31</v>
      </c>
      <c r="D34" s="31">
        <v>29</v>
      </c>
      <c r="E34" s="31" t="s">
        <v>422</v>
      </c>
      <c r="F34" s="32" t="str">
        <f t="shared" si="0"/>
        <v>29 - Finistère</v>
      </c>
      <c r="G34" s="30">
        <v>31</v>
      </c>
      <c r="H34" s="31" t="s">
        <v>315</v>
      </c>
      <c r="I34" s="31" t="s">
        <v>312</v>
      </c>
      <c r="J34" s="31">
        <v>0</v>
      </c>
      <c r="K34" s="31">
        <f t="shared" si="1"/>
        <v>3</v>
      </c>
      <c r="L34" s="31">
        <f t="shared" si="2"/>
        <v>-2</v>
      </c>
      <c r="M34" s="31">
        <f t="shared" si="3"/>
        <v>-5</v>
      </c>
      <c r="N34" s="31">
        <v>-2</v>
      </c>
      <c r="O34" s="35">
        <v>-4</v>
      </c>
      <c r="P34" s="31">
        <v>-4</v>
      </c>
      <c r="Q34" s="31">
        <v>-5</v>
      </c>
      <c r="R34" s="31" t="s">
        <v>270</v>
      </c>
      <c r="S34" s="31" t="s">
        <v>270</v>
      </c>
      <c r="T34" s="31" t="s">
        <v>270</v>
      </c>
      <c r="U34" s="31" t="s">
        <v>270</v>
      </c>
      <c r="V34" s="31" t="s">
        <v>270</v>
      </c>
      <c r="W34" s="31" t="s">
        <v>270</v>
      </c>
      <c r="X34" s="31" t="s">
        <v>270</v>
      </c>
      <c r="Y34" s="31" t="s">
        <v>270</v>
      </c>
      <c r="Z34" s="31" t="s">
        <v>270</v>
      </c>
      <c r="AA34" s="31" t="s">
        <v>270</v>
      </c>
      <c r="AB34" s="31" t="s">
        <v>270</v>
      </c>
      <c r="AC34" s="33">
        <v>5800</v>
      </c>
      <c r="AD34" s="43">
        <v>44900</v>
      </c>
      <c r="AE34" s="31"/>
      <c r="AF34" s="31"/>
      <c r="AG34" s="31">
        <v>79</v>
      </c>
      <c r="AH34" s="31"/>
      <c r="AI34" s="31">
        <f t="shared" si="4"/>
        <v>79</v>
      </c>
      <c r="AJ34" s="31"/>
      <c r="AK34" s="31">
        <v>5</v>
      </c>
      <c r="AL34" s="31" t="s">
        <v>306</v>
      </c>
      <c r="AM34" s="31">
        <v>1250</v>
      </c>
      <c r="AN34" s="34">
        <v>1</v>
      </c>
    </row>
    <row r="35" spans="3:40" x14ac:dyDescent="0.2">
      <c r="C35" s="30">
        <v>32</v>
      </c>
      <c r="D35" s="31">
        <v>30</v>
      </c>
      <c r="E35" s="31" t="s">
        <v>423</v>
      </c>
      <c r="F35" s="32" t="str">
        <f t="shared" si="0"/>
        <v>30 - Gard</v>
      </c>
      <c r="G35" s="30">
        <v>32</v>
      </c>
      <c r="H35" s="31" t="s">
        <v>323</v>
      </c>
      <c r="I35" s="31" t="s">
        <v>316</v>
      </c>
      <c r="J35" s="31">
        <v>0</v>
      </c>
      <c r="K35" s="31">
        <f t="shared" si="1"/>
        <v>14</v>
      </c>
      <c r="L35" s="31">
        <f t="shared" si="2"/>
        <v>-3</v>
      </c>
      <c r="M35" s="31">
        <f t="shared" si="3"/>
        <v>-12</v>
      </c>
      <c r="N35" s="31">
        <v>-3</v>
      </c>
      <c r="O35" s="35">
        <v>-3</v>
      </c>
      <c r="P35" s="31">
        <v>-5</v>
      </c>
      <c r="Q35" s="31">
        <v>-6</v>
      </c>
      <c r="R35" s="31">
        <v>-7</v>
      </c>
      <c r="S35" s="31">
        <v>-7</v>
      </c>
      <c r="T35" s="31">
        <v>-8</v>
      </c>
      <c r="U35" s="31">
        <v>-8</v>
      </c>
      <c r="V35" s="31">
        <v>-9</v>
      </c>
      <c r="W35" s="31">
        <v>-9</v>
      </c>
      <c r="X35" s="31">
        <v>-10</v>
      </c>
      <c r="Y35" s="31">
        <v>-10</v>
      </c>
      <c r="Z35" s="31">
        <v>-11</v>
      </c>
      <c r="AA35" s="31">
        <v>-11</v>
      </c>
      <c r="AB35" s="31">
        <v>-12</v>
      </c>
      <c r="AC35" s="33">
        <v>4000</v>
      </c>
      <c r="AD35" s="43">
        <v>42300</v>
      </c>
      <c r="AE35" s="31" t="s">
        <v>325</v>
      </c>
      <c r="AF35" s="31" t="s">
        <v>326</v>
      </c>
      <c r="AG35" s="31">
        <v>120</v>
      </c>
      <c r="AH35" s="31">
        <v>127</v>
      </c>
      <c r="AI35" s="31">
        <f t="shared" si="4"/>
        <v>123.5</v>
      </c>
      <c r="AJ35" s="31">
        <v>1.8</v>
      </c>
      <c r="AK35" s="31">
        <v>5</v>
      </c>
      <c r="AL35" s="31" t="s">
        <v>317</v>
      </c>
      <c r="AM35" s="31">
        <v>2200</v>
      </c>
      <c r="AN35" s="34">
        <v>1</v>
      </c>
    </row>
    <row r="36" spans="3:40" x14ac:dyDescent="0.2">
      <c r="C36" s="30">
        <v>33</v>
      </c>
      <c r="D36" s="31">
        <v>31</v>
      </c>
      <c r="E36" s="31" t="s">
        <v>424</v>
      </c>
      <c r="F36" s="32" t="str">
        <f t="shared" si="0"/>
        <v>31 - Haute-Garonne</v>
      </c>
      <c r="G36" s="30">
        <v>33</v>
      </c>
      <c r="H36" s="31" t="s">
        <v>315</v>
      </c>
      <c r="I36" s="31" t="s">
        <v>309</v>
      </c>
      <c r="J36" s="31">
        <v>2</v>
      </c>
      <c r="K36" s="31">
        <f t="shared" si="1"/>
        <v>14</v>
      </c>
      <c r="L36" s="31">
        <f t="shared" si="2"/>
        <v>-5</v>
      </c>
      <c r="M36" s="31">
        <f t="shared" si="3"/>
        <v>-12</v>
      </c>
      <c r="N36" s="31" t="s">
        <v>270</v>
      </c>
      <c r="O36" s="35" t="s">
        <v>270</v>
      </c>
      <c r="P36" s="31">
        <v>-5</v>
      </c>
      <c r="Q36" s="31">
        <v>-6</v>
      </c>
      <c r="R36" s="31">
        <v>-7</v>
      </c>
      <c r="S36" s="31">
        <v>-7</v>
      </c>
      <c r="T36" s="31">
        <v>-8</v>
      </c>
      <c r="U36" s="31">
        <v>-8</v>
      </c>
      <c r="V36" s="31">
        <v>-9</v>
      </c>
      <c r="W36" s="31">
        <v>-9</v>
      </c>
      <c r="X36" s="31">
        <v>-10</v>
      </c>
      <c r="Y36" s="31">
        <v>-10</v>
      </c>
      <c r="Z36" s="31">
        <v>-11</v>
      </c>
      <c r="AA36" s="31">
        <v>-11</v>
      </c>
      <c r="AB36" s="31">
        <v>-12</v>
      </c>
      <c r="AC36" s="33">
        <v>4500</v>
      </c>
      <c r="AD36" s="43">
        <v>48300</v>
      </c>
      <c r="AE36" s="31"/>
      <c r="AF36" s="31"/>
      <c r="AG36" s="31">
        <v>98</v>
      </c>
      <c r="AH36" s="31"/>
      <c r="AI36" s="31">
        <f t="shared" si="4"/>
        <v>98</v>
      </c>
      <c r="AJ36" s="31">
        <v>1.5</v>
      </c>
      <c r="AK36" s="31"/>
      <c r="AL36" s="31" t="s">
        <v>321</v>
      </c>
      <c r="AM36" s="31">
        <v>1800</v>
      </c>
      <c r="AN36" s="34">
        <v>1</v>
      </c>
    </row>
    <row r="37" spans="3:40" x14ac:dyDescent="0.2">
      <c r="C37" s="30">
        <v>34</v>
      </c>
      <c r="D37" s="31">
        <v>32</v>
      </c>
      <c r="E37" s="31" t="s">
        <v>425</v>
      </c>
      <c r="F37" s="32" t="str">
        <f t="shared" ref="F37:F68" si="5">D37&amp;" - "&amp;E37</f>
        <v>32 - Gers</v>
      </c>
      <c r="G37" s="30">
        <v>34</v>
      </c>
      <c r="H37" s="31" t="s">
        <v>315</v>
      </c>
      <c r="I37" s="31" t="s">
        <v>309</v>
      </c>
      <c r="J37" s="31">
        <v>2</v>
      </c>
      <c r="K37" s="31">
        <f t="shared" ref="K37:K68" si="6">MATCH(M37,N37:AB37,0)-1</f>
        <v>3</v>
      </c>
      <c r="L37" s="31">
        <f t="shared" ref="L37:L68" si="7">MAX(N37:AB37)</f>
        <v>-5</v>
      </c>
      <c r="M37" s="31">
        <f t="shared" ref="M37:M68" si="8">MIN(N37:AB37)</f>
        <v>-6</v>
      </c>
      <c r="N37" s="31" t="s">
        <v>270</v>
      </c>
      <c r="O37" s="35" t="s">
        <v>270</v>
      </c>
      <c r="P37" s="31">
        <v>-5</v>
      </c>
      <c r="Q37" s="31">
        <v>-6</v>
      </c>
      <c r="R37" s="31" t="s">
        <v>270</v>
      </c>
      <c r="S37" s="31" t="s">
        <v>270</v>
      </c>
      <c r="T37" s="31" t="s">
        <v>270</v>
      </c>
      <c r="U37" s="31" t="s">
        <v>270</v>
      </c>
      <c r="V37" s="31" t="s">
        <v>270</v>
      </c>
      <c r="W37" s="31" t="s">
        <v>270</v>
      </c>
      <c r="X37" s="31" t="s">
        <v>270</v>
      </c>
      <c r="Y37" s="31" t="s">
        <v>270</v>
      </c>
      <c r="Z37" s="31" t="s">
        <v>270</v>
      </c>
      <c r="AA37" s="31" t="s">
        <v>270</v>
      </c>
      <c r="AB37" s="31" t="s">
        <v>270</v>
      </c>
      <c r="AC37" s="33">
        <v>4800</v>
      </c>
      <c r="AD37" s="43">
        <v>48000</v>
      </c>
      <c r="AE37" s="31"/>
      <c r="AF37" s="31"/>
      <c r="AG37" s="31">
        <v>92</v>
      </c>
      <c r="AH37" s="31"/>
      <c r="AI37" s="31">
        <f t="shared" ref="AI37:AI68" si="9">IF(AH37=0,AG37,(AG37+AH37)/2)</f>
        <v>92</v>
      </c>
      <c r="AJ37" s="31"/>
      <c r="AK37" s="31"/>
      <c r="AL37" s="31" t="s">
        <v>321</v>
      </c>
      <c r="AM37" s="31">
        <v>1800</v>
      </c>
      <c r="AN37" s="34">
        <v>1</v>
      </c>
    </row>
    <row r="38" spans="3:40" x14ac:dyDescent="0.2">
      <c r="C38" s="30">
        <v>35</v>
      </c>
      <c r="D38" s="31">
        <v>33</v>
      </c>
      <c r="E38" s="31" t="s">
        <v>426</v>
      </c>
      <c r="F38" s="32" t="str">
        <f t="shared" si="5"/>
        <v>33 - Gironde</v>
      </c>
      <c r="G38" s="30">
        <v>35</v>
      </c>
      <c r="H38" s="31" t="s">
        <v>315</v>
      </c>
      <c r="I38" s="31" t="s">
        <v>309</v>
      </c>
      <c r="J38" s="31">
        <v>0</v>
      </c>
      <c r="K38" s="31">
        <f t="shared" si="6"/>
        <v>2</v>
      </c>
      <c r="L38" s="31">
        <f t="shared" si="7"/>
        <v>-2</v>
      </c>
      <c r="M38" s="31">
        <f t="shared" si="8"/>
        <v>-5</v>
      </c>
      <c r="N38" s="31">
        <v>-2</v>
      </c>
      <c r="O38" s="35">
        <v>-4</v>
      </c>
      <c r="P38" s="31">
        <v>-5</v>
      </c>
      <c r="Q38" s="31" t="s">
        <v>270</v>
      </c>
      <c r="R38" s="31" t="s">
        <v>270</v>
      </c>
      <c r="S38" s="31" t="s">
        <v>270</v>
      </c>
      <c r="T38" s="31" t="s">
        <v>270</v>
      </c>
      <c r="U38" s="31" t="s">
        <v>270</v>
      </c>
      <c r="V38" s="31" t="s">
        <v>270</v>
      </c>
      <c r="W38" s="31" t="s">
        <v>270</v>
      </c>
      <c r="X38" s="31" t="s">
        <v>270</v>
      </c>
      <c r="Y38" s="31" t="s">
        <v>270</v>
      </c>
      <c r="Z38" s="31" t="s">
        <v>270</v>
      </c>
      <c r="AA38" s="31" t="s">
        <v>270</v>
      </c>
      <c r="AB38" s="31" t="s">
        <v>270</v>
      </c>
      <c r="AC38" s="33">
        <v>4500</v>
      </c>
      <c r="AD38" s="43">
        <v>44400</v>
      </c>
      <c r="AE38" s="31"/>
      <c r="AF38" s="31"/>
      <c r="AG38" s="31">
        <v>91</v>
      </c>
      <c r="AH38" s="31"/>
      <c r="AI38" s="31">
        <f t="shared" si="9"/>
        <v>91</v>
      </c>
      <c r="AJ38" s="31"/>
      <c r="AK38" s="31">
        <v>5</v>
      </c>
      <c r="AL38" s="31" t="s">
        <v>321</v>
      </c>
      <c r="AM38" s="31">
        <v>1800</v>
      </c>
      <c r="AN38" s="34">
        <v>1</v>
      </c>
    </row>
    <row r="39" spans="3:40" x14ac:dyDescent="0.2">
      <c r="C39" s="30">
        <v>36</v>
      </c>
      <c r="D39" s="31">
        <v>34</v>
      </c>
      <c r="E39" s="31" t="s">
        <v>427</v>
      </c>
      <c r="F39" s="32" t="str">
        <f t="shared" si="5"/>
        <v>34 - Hérault</v>
      </c>
      <c r="G39" s="30">
        <v>36</v>
      </c>
      <c r="H39" s="31" t="s">
        <v>323</v>
      </c>
      <c r="I39" s="31" t="s">
        <v>316</v>
      </c>
      <c r="J39" s="31">
        <v>0</v>
      </c>
      <c r="K39" s="31">
        <f t="shared" si="6"/>
        <v>14</v>
      </c>
      <c r="L39" s="31">
        <f t="shared" si="7"/>
        <v>-3</v>
      </c>
      <c r="M39" s="31">
        <f t="shared" si="8"/>
        <v>-12</v>
      </c>
      <c r="N39" s="31">
        <v>-3</v>
      </c>
      <c r="O39" s="35">
        <v>-3</v>
      </c>
      <c r="P39" s="31">
        <v>-5</v>
      </c>
      <c r="Q39" s="31">
        <v>-6</v>
      </c>
      <c r="R39" s="31">
        <v>-7</v>
      </c>
      <c r="S39" s="31">
        <v>-7</v>
      </c>
      <c r="T39" s="31">
        <v>-8</v>
      </c>
      <c r="U39" s="31">
        <v>-8</v>
      </c>
      <c r="V39" s="31">
        <v>-9</v>
      </c>
      <c r="W39" s="31">
        <v>-9</v>
      </c>
      <c r="X39" s="31">
        <v>-10</v>
      </c>
      <c r="Y39" s="31">
        <v>-10</v>
      </c>
      <c r="Z39" s="31">
        <v>-11</v>
      </c>
      <c r="AA39" s="31">
        <v>-11</v>
      </c>
      <c r="AB39" s="31">
        <v>-12</v>
      </c>
      <c r="AC39" s="33">
        <v>4100</v>
      </c>
      <c r="AD39" s="43">
        <v>36500</v>
      </c>
      <c r="AE39" s="31" t="s">
        <v>332</v>
      </c>
      <c r="AF39" s="36" t="s">
        <v>333</v>
      </c>
      <c r="AG39" s="31">
        <v>110</v>
      </c>
      <c r="AH39" s="31">
        <v>127</v>
      </c>
      <c r="AI39" s="31">
        <f t="shared" si="9"/>
        <v>118.5</v>
      </c>
      <c r="AJ39" s="31">
        <v>1.8</v>
      </c>
      <c r="AK39" s="31">
        <v>5</v>
      </c>
      <c r="AL39" s="31" t="s">
        <v>317</v>
      </c>
      <c r="AM39" s="31">
        <v>2200</v>
      </c>
      <c r="AN39" s="34">
        <v>1</v>
      </c>
    </row>
    <row r="40" spans="3:40" x14ac:dyDescent="0.2">
      <c r="C40" s="30">
        <v>37</v>
      </c>
      <c r="D40" s="31">
        <v>35</v>
      </c>
      <c r="E40" s="31" t="s">
        <v>428</v>
      </c>
      <c r="F40" s="32" t="str">
        <f t="shared" si="5"/>
        <v>35 - Ile-et-Vilaine</v>
      </c>
      <c r="G40" s="30">
        <v>37</v>
      </c>
      <c r="H40" s="31" t="s">
        <v>315</v>
      </c>
      <c r="I40" s="31" t="s">
        <v>312</v>
      </c>
      <c r="J40" s="31">
        <v>0</v>
      </c>
      <c r="K40" s="31">
        <f t="shared" si="6"/>
        <v>1</v>
      </c>
      <c r="L40" s="31">
        <f t="shared" si="7"/>
        <v>-2</v>
      </c>
      <c r="M40" s="31">
        <f t="shared" si="8"/>
        <v>-4</v>
      </c>
      <c r="N40" s="31">
        <v>-2</v>
      </c>
      <c r="O40" s="35">
        <v>-4</v>
      </c>
      <c r="P40" s="31">
        <v>-4</v>
      </c>
      <c r="Q40" s="31" t="s">
        <v>270</v>
      </c>
      <c r="R40" s="31" t="s">
        <v>270</v>
      </c>
      <c r="S40" s="31" t="s">
        <v>270</v>
      </c>
      <c r="T40" s="31" t="s">
        <v>270</v>
      </c>
      <c r="U40" s="31" t="s">
        <v>270</v>
      </c>
      <c r="V40" s="31" t="s">
        <v>270</v>
      </c>
      <c r="W40" s="31" t="s">
        <v>270</v>
      </c>
      <c r="X40" s="31" t="s">
        <v>270</v>
      </c>
      <c r="Y40" s="31" t="s">
        <v>270</v>
      </c>
      <c r="Z40" s="31" t="s">
        <v>270</v>
      </c>
      <c r="AA40" s="31" t="s">
        <v>270</v>
      </c>
      <c r="AB40" s="31" t="s">
        <v>270</v>
      </c>
      <c r="AC40" s="33">
        <v>5300</v>
      </c>
      <c r="AD40" s="43">
        <v>53000</v>
      </c>
      <c r="AE40" s="31"/>
      <c r="AF40" s="31"/>
      <c r="AG40" s="31">
        <v>79</v>
      </c>
      <c r="AH40" s="31"/>
      <c r="AI40" s="31">
        <f t="shared" si="9"/>
        <v>79</v>
      </c>
      <c r="AJ40" s="31"/>
      <c r="AK40" s="31">
        <v>5</v>
      </c>
      <c r="AL40" s="31" t="s">
        <v>310</v>
      </c>
      <c r="AM40" s="31">
        <v>1450</v>
      </c>
      <c r="AN40" s="34">
        <v>1</v>
      </c>
    </row>
    <row r="41" spans="3:40" x14ac:dyDescent="0.2">
      <c r="C41" s="30">
        <v>38</v>
      </c>
      <c r="D41" s="31">
        <v>36</v>
      </c>
      <c r="E41" s="31" t="s">
        <v>429</v>
      </c>
      <c r="F41" s="32" t="str">
        <f t="shared" si="5"/>
        <v>36 - Indre</v>
      </c>
      <c r="G41" s="30">
        <v>38</v>
      </c>
      <c r="H41" s="31" t="s">
        <v>315</v>
      </c>
      <c r="I41" s="31" t="s">
        <v>328</v>
      </c>
      <c r="J41" s="31">
        <v>2</v>
      </c>
      <c r="K41" s="31">
        <f t="shared" si="6"/>
        <v>4</v>
      </c>
      <c r="L41" s="31">
        <f t="shared" si="7"/>
        <v>-7</v>
      </c>
      <c r="M41" s="31">
        <f t="shared" si="8"/>
        <v>-9</v>
      </c>
      <c r="N41" s="31" t="s">
        <v>270</v>
      </c>
      <c r="O41" s="35" t="s">
        <v>270</v>
      </c>
      <c r="P41" s="31">
        <v>-7</v>
      </c>
      <c r="Q41" s="31">
        <v>-8</v>
      </c>
      <c r="R41" s="31">
        <v>-9</v>
      </c>
      <c r="S41" s="31" t="s">
        <v>270</v>
      </c>
      <c r="T41" s="31" t="s">
        <v>270</v>
      </c>
      <c r="U41" s="31" t="s">
        <v>270</v>
      </c>
      <c r="V41" s="31" t="s">
        <v>270</v>
      </c>
      <c r="W41" s="31" t="s">
        <v>270</v>
      </c>
      <c r="X41" s="31" t="s">
        <v>270</v>
      </c>
      <c r="Y41" s="31" t="s">
        <v>270</v>
      </c>
      <c r="Z41" s="31" t="s">
        <v>270</v>
      </c>
      <c r="AA41" s="31" t="s">
        <v>270</v>
      </c>
      <c r="AB41" s="31" t="s">
        <v>270</v>
      </c>
      <c r="AC41" s="33">
        <v>5300</v>
      </c>
      <c r="AD41" s="43">
        <v>59000</v>
      </c>
      <c r="AE41" s="31"/>
      <c r="AF41" s="31"/>
      <c r="AG41" s="31">
        <v>84</v>
      </c>
      <c r="AH41" s="31"/>
      <c r="AI41" s="31">
        <f t="shared" si="9"/>
        <v>84</v>
      </c>
      <c r="AJ41" s="31"/>
      <c r="AK41" s="31"/>
      <c r="AL41" s="31" t="s">
        <v>310</v>
      </c>
      <c r="AM41" s="31">
        <v>1450</v>
      </c>
      <c r="AN41" s="34">
        <v>1</v>
      </c>
    </row>
    <row r="42" spans="3:40" x14ac:dyDescent="0.2">
      <c r="C42" s="30">
        <v>39</v>
      </c>
      <c r="D42" s="31">
        <v>37</v>
      </c>
      <c r="E42" s="31" t="s">
        <v>430</v>
      </c>
      <c r="F42" s="32" t="str">
        <f t="shared" si="5"/>
        <v>37 - Indre-et-Loire</v>
      </c>
      <c r="G42" s="30">
        <v>39</v>
      </c>
      <c r="H42" s="31" t="s">
        <v>315</v>
      </c>
      <c r="I42" s="31" t="s">
        <v>328</v>
      </c>
      <c r="J42" s="31">
        <v>2</v>
      </c>
      <c r="K42" s="31">
        <f t="shared" si="6"/>
        <v>2</v>
      </c>
      <c r="L42" s="31">
        <f t="shared" si="7"/>
        <v>-7</v>
      </c>
      <c r="M42" s="31">
        <f t="shared" si="8"/>
        <v>-7</v>
      </c>
      <c r="N42" s="31" t="s">
        <v>270</v>
      </c>
      <c r="O42" s="35" t="s">
        <v>270</v>
      </c>
      <c r="P42" s="31">
        <v>-7</v>
      </c>
      <c r="Q42" s="31" t="s">
        <v>270</v>
      </c>
      <c r="R42" s="31" t="s">
        <v>270</v>
      </c>
      <c r="S42" s="31" t="s">
        <v>270</v>
      </c>
      <c r="T42" s="31" t="s">
        <v>270</v>
      </c>
      <c r="U42" s="31" t="s">
        <v>270</v>
      </c>
      <c r="V42" s="31" t="s">
        <v>270</v>
      </c>
      <c r="W42" s="31" t="s">
        <v>270</v>
      </c>
      <c r="X42" s="31" t="s">
        <v>270</v>
      </c>
      <c r="Y42" s="31" t="s">
        <v>270</v>
      </c>
      <c r="Z42" s="31" t="s">
        <v>270</v>
      </c>
      <c r="AA42" s="31" t="s">
        <v>270</v>
      </c>
      <c r="AB42" s="31" t="s">
        <v>270</v>
      </c>
      <c r="AC42" s="33">
        <v>5300</v>
      </c>
      <c r="AD42" s="43">
        <v>57000</v>
      </c>
      <c r="AE42" s="31"/>
      <c r="AF42" s="31"/>
      <c r="AG42" s="31">
        <v>85</v>
      </c>
      <c r="AH42" s="31"/>
      <c r="AI42" s="31">
        <f t="shared" si="9"/>
        <v>85</v>
      </c>
      <c r="AJ42" s="31"/>
      <c r="AK42" s="31"/>
      <c r="AL42" s="31" t="s">
        <v>310</v>
      </c>
      <c r="AM42" s="31">
        <v>1450</v>
      </c>
      <c r="AN42" s="34">
        <v>1</v>
      </c>
    </row>
    <row r="43" spans="3:40" x14ac:dyDescent="0.2">
      <c r="C43" s="30">
        <v>40</v>
      </c>
      <c r="D43" s="31">
        <v>38</v>
      </c>
      <c r="E43" s="31" t="s">
        <v>431</v>
      </c>
      <c r="F43" s="32" t="str">
        <f t="shared" si="5"/>
        <v>38 - Isère</v>
      </c>
      <c r="G43" s="30">
        <v>40</v>
      </c>
      <c r="H43" s="31" t="s">
        <v>308</v>
      </c>
      <c r="I43" s="31" t="s">
        <v>309</v>
      </c>
      <c r="J43" s="31">
        <v>2</v>
      </c>
      <c r="K43" s="31">
        <f t="shared" si="6"/>
        <v>12</v>
      </c>
      <c r="L43" s="31">
        <f t="shared" si="7"/>
        <v>-10</v>
      </c>
      <c r="M43" s="31">
        <f t="shared" si="8"/>
        <v>-20</v>
      </c>
      <c r="N43" s="31" t="s">
        <v>270</v>
      </c>
      <c r="O43" s="35" t="s">
        <v>270</v>
      </c>
      <c r="P43" s="31">
        <v>-10</v>
      </c>
      <c r="Q43" s="31">
        <v>-11</v>
      </c>
      <c r="R43" s="31">
        <v>-12</v>
      </c>
      <c r="S43" s="31">
        <v>-13</v>
      </c>
      <c r="T43" s="31">
        <v>-14</v>
      </c>
      <c r="U43" s="31">
        <v>-15</v>
      </c>
      <c r="V43" s="31">
        <v>-16</v>
      </c>
      <c r="W43" s="31">
        <v>-17</v>
      </c>
      <c r="X43" s="31">
        <v>-18</v>
      </c>
      <c r="Y43" s="31">
        <v>-19</v>
      </c>
      <c r="Z43" s="31">
        <v>-20</v>
      </c>
      <c r="AA43" s="31" t="s">
        <v>270</v>
      </c>
      <c r="AB43" s="31" t="s">
        <v>270</v>
      </c>
      <c r="AC43" s="33">
        <v>4800</v>
      </c>
      <c r="AD43" s="43">
        <v>62700</v>
      </c>
      <c r="AE43" s="31" t="s">
        <v>325</v>
      </c>
      <c r="AF43" s="31" t="s">
        <v>326</v>
      </c>
      <c r="AG43" s="31">
        <v>90</v>
      </c>
      <c r="AH43" s="31">
        <v>115</v>
      </c>
      <c r="AI43" s="31">
        <f t="shared" si="9"/>
        <v>102.5</v>
      </c>
      <c r="AJ43" s="31">
        <v>1.5</v>
      </c>
      <c r="AK43" s="31"/>
      <c r="AL43" s="31" t="s">
        <v>321</v>
      </c>
      <c r="AM43" s="31">
        <v>1800</v>
      </c>
      <c r="AN43" s="34">
        <v>1.1000000000000001</v>
      </c>
    </row>
    <row r="44" spans="3:40" x14ac:dyDescent="0.2">
      <c r="C44" s="30">
        <v>41</v>
      </c>
      <c r="D44" s="31">
        <v>39</v>
      </c>
      <c r="E44" s="31" t="s">
        <v>432</v>
      </c>
      <c r="F44" s="32" t="str">
        <f t="shared" si="5"/>
        <v>39 - Jura</v>
      </c>
      <c r="G44" s="30">
        <v>41</v>
      </c>
      <c r="H44" s="31" t="s">
        <v>308</v>
      </c>
      <c r="I44" s="31" t="s">
        <v>309</v>
      </c>
      <c r="J44" s="31">
        <v>2</v>
      </c>
      <c r="K44" s="31">
        <f t="shared" si="6"/>
        <v>12</v>
      </c>
      <c r="L44" s="31">
        <f t="shared" si="7"/>
        <v>-10</v>
      </c>
      <c r="M44" s="31">
        <f t="shared" si="8"/>
        <v>-20</v>
      </c>
      <c r="N44" s="31" t="s">
        <v>270</v>
      </c>
      <c r="O44" s="35" t="s">
        <v>270</v>
      </c>
      <c r="P44" s="31">
        <v>-10</v>
      </c>
      <c r="Q44" s="31">
        <v>-11</v>
      </c>
      <c r="R44" s="31">
        <v>-12</v>
      </c>
      <c r="S44" s="31">
        <v>-13</v>
      </c>
      <c r="T44" s="31">
        <v>-14</v>
      </c>
      <c r="U44" s="31">
        <v>-15</v>
      </c>
      <c r="V44" s="31">
        <v>-16</v>
      </c>
      <c r="W44" s="31">
        <v>-17</v>
      </c>
      <c r="X44" s="31">
        <v>-18</v>
      </c>
      <c r="Y44" s="31">
        <v>-19</v>
      </c>
      <c r="Z44" s="31">
        <v>-20</v>
      </c>
      <c r="AA44" s="31" t="s">
        <v>270</v>
      </c>
      <c r="AB44" s="31" t="s">
        <v>270</v>
      </c>
      <c r="AC44" s="33">
        <v>4900</v>
      </c>
      <c r="AD44" s="43">
        <v>65000</v>
      </c>
      <c r="AE44" s="31"/>
      <c r="AF44" s="31"/>
      <c r="AG44" s="31">
        <v>74</v>
      </c>
      <c r="AH44" s="31"/>
      <c r="AI44" s="31">
        <f t="shared" si="9"/>
        <v>74</v>
      </c>
      <c r="AJ44" s="31">
        <v>1.5</v>
      </c>
      <c r="AK44" s="31"/>
      <c r="AL44" s="31" t="s">
        <v>310</v>
      </c>
      <c r="AM44" s="31">
        <v>1450</v>
      </c>
      <c r="AN44" s="34">
        <v>1</v>
      </c>
    </row>
    <row r="45" spans="3:40" x14ac:dyDescent="0.2">
      <c r="C45" s="30">
        <v>42</v>
      </c>
      <c r="D45" s="31">
        <v>40</v>
      </c>
      <c r="E45" s="31" t="s">
        <v>433</v>
      </c>
      <c r="F45" s="32" t="str">
        <f t="shared" si="5"/>
        <v>40 - Landes</v>
      </c>
      <c r="G45" s="30">
        <v>42</v>
      </c>
      <c r="H45" s="31" t="s">
        <v>315</v>
      </c>
      <c r="I45" s="31" t="s">
        <v>309</v>
      </c>
      <c r="J45" s="31">
        <v>0</v>
      </c>
      <c r="K45" s="31">
        <f t="shared" si="6"/>
        <v>3</v>
      </c>
      <c r="L45" s="31">
        <f t="shared" si="7"/>
        <v>-2</v>
      </c>
      <c r="M45" s="31">
        <f t="shared" si="8"/>
        <v>-6</v>
      </c>
      <c r="N45" s="31">
        <v>-2</v>
      </c>
      <c r="O45" s="35">
        <v>-4</v>
      </c>
      <c r="P45" s="31">
        <v>-5</v>
      </c>
      <c r="Q45" s="31">
        <v>-6</v>
      </c>
      <c r="R45" s="31" t="s">
        <v>270</v>
      </c>
      <c r="S45" s="31" t="s">
        <v>270</v>
      </c>
      <c r="T45" s="31" t="s">
        <v>270</v>
      </c>
      <c r="U45" s="31" t="s">
        <v>270</v>
      </c>
      <c r="V45" s="31" t="s">
        <v>270</v>
      </c>
      <c r="W45" s="31" t="s">
        <v>270</v>
      </c>
      <c r="X45" s="31" t="s">
        <v>270</v>
      </c>
      <c r="Y45" s="31" t="s">
        <v>270</v>
      </c>
      <c r="Z45" s="31" t="s">
        <v>270</v>
      </c>
      <c r="AA45" s="31" t="s">
        <v>270</v>
      </c>
      <c r="AB45" s="31" t="s">
        <v>270</v>
      </c>
      <c r="AC45" s="33">
        <v>4400</v>
      </c>
      <c r="AD45" s="43">
        <v>42000</v>
      </c>
      <c r="AE45" s="31"/>
      <c r="AF45" s="31"/>
      <c r="AG45" s="31">
        <v>94</v>
      </c>
      <c r="AH45" s="31"/>
      <c r="AI45" s="31">
        <f t="shared" si="9"/>
        <v>94</v>
      </c>
      <c r="AJ45" s="31"/>
      <c r="AK45" s="31">
        <v>5</v>
      </c>
      <c r="AL45" s="31" t="s">
        <v>321</v>
      </c>
      <c r="AM45" s="31">
        <v>1800</v>
      </c>
      <c r="AN45" s="34">
        <v>1</v>
      </c>
    </row>
    <row r="46" spans="3:40" x14ac:dyDescent="0.2">
      <c r="C46" s="30">
        <v>43</v>
      </c>
      <c r="D46" s="31">
        <v>41</v>
      </c>
      <c r="E46" s="31" t="s">
        <v>434</v>
      </c>
      <c r="F46" s="32" t="str">
        <f t="shared" si="5"/>
        <v>41 - Loir-et-Cher</v>
      </c>
      <c r="G46" s="30">
        <v>43</v>
      </c>
      <c r="H46" s="31" t="s">
        <v>315</v>
      </c>
      <c r="I46" s="31" t="s">
        <v>328</v>
      </c>
      <c r="J46" s="31">
        <v>2</v>
      </c>
      <c r="K46" s="31">
        <f t="shared" si="6"/>
        <v>3</v>
      </c>
      <c r="L46" s="31">
        <f t="shared" si="7"/>
        <v>-7</v>
      </c>
      <c r="M46" s="31">
        <f t="shared" si="8"/>
        <v>-8</v>
      </c>
      <c r="N46" s="31" t="s">
        <v>270</v>
      </c>
      <c r="O46" s="35" t="s">
        <v>270</v>
      </c>
      <c r="P46" s="31">
        <v>-7</v>
      </c>
      <c r="Q46" s="31">
        <v>-8</v>
      </c>
      <c r="R46" s="31" t="s">
        <v>270</v>
      </c>
      <c r="S46" s="31" t="s">
        <v>270</v>
      </c>
      <c r="T46" s="31" t="s">
        <v>270</v>
      </c>
      <c r="U46" s="31" t="s">
        <v>270</v>
      </c>
      <c r="V46" s="31" t="s">
        <v>270</v>
      </c>
      <c r="W46" s="31" t="s">
        <v>270</v>
      </c>
      <c r="X46" s="31" t="s">
        <v>270</v>
      </c>
      <c r="Y46" s="31" t="s">
        <v>270</v>
      </c>
      <c r="Z46" s="31" t="s">
        <v>270</v>
      </c>
      <c r="AA46" s="31" t="s">
        <v>270</v>
      </c>
      <c r="AB46" s="31" t="s">
        <v>270</v>
      </c>
      <c r="AC46" s="33">
        <v>5400</v>
      </c>
      <c r="AD46" s="43">
        <v>59000</v>
      </c>
      <c r="AE46" s="31"/>
      <c r="AF46" s="31"/>
      <c r="AG46" s="31">
        <v>82</v>
      </c>
      <c r="AH46" s="31"/>
      <c r="AI46" s="31">
        <f t="shared" si="9"/>
        <v>82</v>
      </c>
      <c r="AJ46" s="31"/>
      <c r="AK46" s="31"/>
      <c r="AL46" s="31" t="s">
        <v>310</v>
      </c>
      <c r="AM46" s="31">
        <v>1450</v>
      </c>
      <c r="AN46" s="34">
        <v>1</v>
      </c>
    </row>
    <row r="47" spans="3:40" x14ac:dyDescent="0.2">
      <c r="C47" s="30">
        <v>44</v>
      </c>
      <c r="D47" s="31">
        <v>42</v>
      </c>
      <c r="E47" s="31" t="s">
        <v>435</v>
      </c>
      <c r="F47" s="32" t="str">
        <f t="shared" si="5"/>
        <v>42 - Loire</v>
      </c>
      <c r="G47" s="30">
        <v>44</v>
      </c>
      <c r="H47" s="31" t="s">
        <v>308</v>
      </c>
      <c r="I47" s="31" t="s">
        <v>309</v>
      </c>
      <c r="J47" s="31">
        <v>2</v>
      </c>
      <c r="K47" s="31">
        <f t="shared" si="6"/>
        <v>12</v>
      </c>
      <c r="L47" s="31">
        <f t="shared" si="7"/>
        <v>-10</v>
      </c>
      <c r="M47" s="31">
        <f t="shared" si="8"/>
        <v>-20</v>
      </c>
      <c r="N47" s="31" t="s">
        <v>270</v>
      </c>
      <c r="O47" s="35" t="s">
        <v>270</v>
      </c>
      <c r="P47" s="31">
        <v>-10</v>
      </c>
      <c r="Q47" s="31">
        <v>-11</v>
      </c>
      <c r="R47" s="31">
        <v>-12</v>
      </c>
      <c r="S47" s="31">
        <v>-13</v>
      </c>
      <c r="T47" s="31">
        <v>-14</v>
      </c>
      <c r="U47" s="31">
        <v>-15</v>
      </c>
      <c r="V47" s="31">
        <v>-16</v>
      </c>
      <c r="W47" s="31">
        <v>-17</v>
      </c>
      <c r="X47" s="31">
        <v>-18</v>
      </c>
      <c r="Y47" s="31">
        <v>-19</v>
      </c>
      <c r="Z47" s="31">
        <v>-20</v>
      </c>
      <c r="AA47" s="31" t="s">
        <v>270</v>
      </c>
      <c r="AB47" s="31" t="s">
        <v>270</v>
      </c>
      <c r="AC47" s="33">
        <v>4900</v>
      </c>
      <c r="AD47" s="43">
        <v>63300</v>
      </c>
      <c r="AE47" s="31"/>
      <c r="AF47" s="31"/>
      <c r="AG47" s="31">
        <v>83</v>
      </c>
      <c r="AH47" s="31"/>
      <c r="AI47" s="31">
        <f t="shared" si="9"/>
        <v>83</v>
      </c>
      <c r="AJ47" s="31">
        <v>1.5</v>
      </c>
      <c r="AK47" s="31"/>
      <c r="AL47" s="31" t="s">
        <v>310</v>
      </c>
      <c r="AM47" s="31">
        <v>1450</v>
      </c>
      <c r="AN47" s="34">
        <v>1</v>
      </c>
    </row>
    <row r="48" spans="3:40" x14ac:dyDescent="0.2">
      <c r="C48" s="30">
        <v>45</v>
      </c>
      <c r="D48" s="31">
        <v>43</v>
      </c>
      <c r="E48" s="31" t="s">
        <v>436</v>
      </c>
      <c r="F48" s="32" t="str">
        <f t="shared" si="5"/>
        <v>43 - Haute-Loire</v>
      </c>
      <c r="G48" s="30">
        <v>45</v>
      </c>
      <c r="H48" s="31" t="s">
        <v>308</v>
      </c>
      <c r="I48" s="31" t="s">
        <v>309</v>
      </c>
      <c r="J48" s="31">
        <v>2</v>
      </c>
      <c r="K48" s="31">
        <f t="shared" si="6"/>
        <v>13</v>
      </c>
      <c r="L48" s="31">
        <f t="shared" si="7"/>
        <v>-8</v>
      </c>
      <c r="M48" s="31">
        <f t="shared" si="8"/>
        <v>-19</v>
      </c>
      <c r="N48" s="31" t="s">
        <v>270</v>
      </c>
      <c r="O48" s="35" t="s">
        <v>270</v>
      </c>
      <c r="P48" s="31">
        <v>-8</v>
      </c>
      <c r="Q48" s="31">
        <v>-9</v>
      </c>
      <c r="R48" s="31">
        <v>-10</v>
      </c>
      <c r="S48" s="31">
        <v>-11</v>
      </c>
      <c r="T48" s="31">
        <v>-12</v>
      </c>
      <c r="U48" s="31">
        <v>-13</v>
      </c>
      <c r="V48" s="31">
        <v>-14</v>
      </c>
      <c r="W48" s="31">
        <v>-15</v>
      </c>
      <c r="X48" s="31">
        <v>-16</v>
      </c>
      <c r="Y48" s="31">
        <v>-17</v>
      </c>
      <c r="Z48" s="31">
        <v>-18</v>
      </c>
      <c r="AA48" s="31">
        <v>-19</v>
      </c>
      <c r="AB48" s="31" t="s">
        <v>270</v>
      </c>
      <c r="AC48" s="33">
        <v>5000</v>
      </c>
      <c r="AD48" s="43">
        <v>61000</v>
      </c>
      <c r="AE48" s="31"/>
      <c r="AF48" s="31"/>
      <c r="AG48" s="31">
        <v>92</v>
      </c>
      <c r="AH48" s="31"/>
      <c r="AI48" s="31">
        <f t="shared" si="9"/>
        <v>92</v>
      </c>
      <c r="AJ48" s="31">
        <v>1.5</v>
      </c>
      <c r="AK48" s="31"/>
      <c r="AL48" s="31" t="s">
        <v>310</v>
      </c>
      <c r="AM48" s="31">
        <v>1450</v>
      </c>
      <c r="AN48" s="34">
        <v>1.1000000000000001</v>
      </c>
    </row>
    <row r="49" spans="3:40" x14ac:dyDescent="0.2">
      <c r="C49" s="30">
        <v>46</v>
      </c>
      <c r="D49" s="31">
        <v>44</v>
      </c>
      <c r="E49" s="31" t="s">
        <v>437</v>
      </c>
      <c r="F49" s="32" t="str">
        <f t="shared" si="5"/>
        <v>44 - Loire Atlantique</v>
      </c>
      <c r="G49" s="30">
        <v>46</v>
      </c>
      <c r="H49" s="31" t="s">
        <v>315</v>
      </c>
      <c r="I49" s="31" t="s">
        <v>328</v>
      </c>
      <c r="J49" s="31">
        <v>0</v>
      </c>
      <c r="K49" s="31">
        <f t="shared" si="6"/>
        <v>2</v>
      </c>
      <c r="L49" s="31">
        <f t="shared" si="7"/>
        <v>-2</v>
      </c>
      <c r="M49" s="31">
        <f t="shared" si="8"/>
        <v>-5</v>
      </c>
      <c r="N49" s="31">
        <v>-2</v>
      </c>
      <c r="O49" s="35">
        <v>-4</v>
      </c>
      <c r="P49" s="31">
        <v>-5</v>
      </c>
      <c r="Q49" s="31" t="s">
        <v>270</v>
      </c>
      <c r="R49" s="31" t="s">
        <v>270</v>
      </c>
      <c r="S49" s="31" t="s">
        <v>270</v>
      </c>
      <c r="T49" s="31" t="s">
        <v>270</v>
      </c>
      <c r="U49" s="31" t="s">
        <v>270</v>
      </c>
      <c r="V49" s="31" t="s">
        <v>270</v>
      </c>
      <c r="W49" s="31" t="s">
        <v>270</v>
      </c>
      <c r="X49" s="31" t="s">
        <v>270</v>
      </c>
      <c r="Y49" s="31" t="s">
        <v>270</v>
      </c>
      <c r="Z49" s="31" t="s">
        <v>270</v>
      </c>
      <c r="AA49" s="31" t="s">
        <v>270</v>
      </c>
      <c r="AB49" s="31" t="s">
        <v>270</v>
      </c>
      <c r="AC49" s="33">
        <v>4900</v>
      </c>
      <c r="AD49" s="43">
        <v>49700</v>
      </c>
      <c r="AE49" s="31"/>
      <c r="AF49" s="31"/>
      <c r="AG49" s="31">
        <v>82</v>
      </c>
      <c r="AH49" s="31"/>
      <c r="AI49" s="31">
        <f t="shared" si="9"/>
        <v>82</v>
      </c>
      <c r="AJ49" s="31"/>
      <c r="AK49" s="31">
        <v>5</v>
      </c>
      <c r="AL49" s="31" t="s">
        <v>310</v>
      </c>
      <c r="AM49" s="31">
        <v>1450</v>
      </c>
      <c r="AN49" s="34">
        <v>1</v>
      </c>
    </row>
    <row r="50" spans="3:40" x14ac:dyDescent="0.2">
      <c r="C50" s="30">
        <v>47</v>
      </c>
      <c r="D50" s="31">
        <v>45</v>
      </c>
      <c r="E50" s="31" t="s">
        <v>438</v>
      </c>
      <c r="F50" s="32" t="str">
        <f t="shared" si="5"/>
        <v>45 - Loiret</v>
      </c>
      <c r="G50" s="30">
        <v>47</v>
      </c>
      <c r="H50" s="31" t="s">
        <v>308</v>
      </c>
      <c r="I50" s="31" t="s">
        <v>328</v>
      </c>
      <c r="J50" s="31">
        <v>2</v>
      </c>
      <c r="K50" s="31">
        <f t="shared" si="6"/>
        <v>3</v>
      </c>
      <c r="L50" s="31">
        <f t="shared" si="7"/>
        <v>-7</v>
      </c>
      <c r="M50" s="31">
        <f t="shared" si="8"/>
        <v>-8</v>
      </c>
      <c r="N50" s="31" t="s">
        <v>270</v>
      </c>
      <c r="O50" s="35" t="s">
        <v>270</v>
      </c>
      <c r="P50" s="31">
        <v>-7</v>
      </c>
      <c r="Q50" s="31">
        <v>-8</v>
      </c>
      <c r="R50" s="31" t="s">
        <v>270</v>
      </c>
      <c r="S50" s="31" t="s">
        <v>270</v>
      </c>
      <c r="T50" s="31" t="s">
        <v>270</v>
      </c>
      <c r="U50" s="31" t="s">
        <v>270</v>
      </c>
      <c r="V50" s="31" t="s">
        <v>270</v>
      </c>
      <c r="W50" s="31" t="s">
        <v>270</v>
      </c>
      <c r="X50" s="31" t="s">
        <v>270</v>
      </c>
      <c r="Y50" s="31" t="s">
        <v>270</v>
      </c>
      <c r="Z50" s="31" t="s">
        <v>270</v>
      </c>
      <c r="AA50" s="31" t="s">
        <v>270</v>
      </c>
      <c r="AB50" s="31" t="s">
        <v>270</v>
      </c>
      <c r="AC50" s="33">
        <v>5400</v>
      </c>
      <c r="AD50" s="43">
        <v>61000</v>
      </c>
      <c r="AE50" s="31"/>
      <c r="AF50" s="31"/>
      <c r="AG50" s="31">
        <v>78</v>
      </c>
      <c r="AH50" s="31"/>
      <c r="AI50" s="31">
        <f t="shared" si="9"/>
        <v>78</v>
      </c>
      <c r="AJ50" s="31"/>
      <c r="AK50" s="31"/>
      <c r="AL50" s="31" t="s">
        <v>310</v>
      </c>
      <c r="AM50" s="31">
        <v>1450</v>
      </c>
      <c r="AN50" s="34">
        <v>1</v>
      </c>
    </row>
    <row r="51" spans="3:40" x14ac:dyDescent="0.2">
      <c r="C51" s="30">
        <v>48</v>
      </c>
      <c r="D51" s="31">
        <v>46</v>
      </c>
      <c r="E51" s="31" t="s">
        <v>439</v>
      </c>
      <c r="F51" s="32" t="str">
        <f t="shared" si="5"/>
        <v>46 - Lot</v>
      </c>
      <c r="G51" s="30">
        <v>48</v>
      </c>
      <c r="H51" s="31" t="s">
        <v>315</v>
      </c>
      <c r="I51" s="31" t="s">
        <v>309</v>
      </c>
      <c r="J51" s="31">
        <v>2</v>
      </c>
      <c r="K51" s="31">
        <f t="shared" si="6"/>
        <v>10</v>
      </c>
      <c r="L51" s="31">
        <f t="shared" si="7"/>
        <v>-6</v>
      </c>
      <c r="M51" s="31">
        <f t="shared" si="8"/>
        <v>-14</v>
      </c>
      <c r="N51" s="31" t="s">
        <v>270</v>
      </c>
      <c r="O51" s="35" t="s">
        <v>270</v>
      </c>
      <c r="P51" s="31">
        <v>-6</v>
      </c>
      <c r="Q51" s="31">
        <v>-7</v>
      </c>
      <c r="R51" s="31">
        <v>-8</v>
      </c>
      <c r="S51" s="31">
        <v>-9</v>
      </c>
      <c r="T51" s="31">
        <v>-10</v>
      </c>
      <c r="U51" s="31">
        <v>-11</v>
      </c>
      <c r="V51" s="31">
        <v>-12</v>
      </c>
      <c r="W51" s="31">
        <v>-13</v>
      </c>
      <c r="X51" s="31">
        <v>-14</v>
      </c>
      <c r="Y51" s="31" t="s">
        <v>270</v>
      </c>
      <c r="Z51" s="31" t="s">
        <v>270</v>
      </c>
      <c r="AA51" s="31" t="s">
        <v>270</v>
      </c>
      <c r="AB51" s="31" t="s">
        <v>270</v>
      </c>
      <c r="AC51" s="33">
        <v>4600</v>
      </c>
      <c r="AD51" s="43">
        <v>51100</v>
      </c>
      <c r="AE51" s="31"/>
      <c r="AF51" s="31"/>
      <c r="AG51" s="31">
        <v>88</v>
      </c>
      <c r="AH51" s="31"/>
      <c r="AI51" s="31">
        <f t="shared" si="9"/>
        <v>88</v>
      </c>
      <c r="AJ51" s="31">
        <v>1.5</v>
      </c>
      <c r="AK51" s="31"/>
      <c r="AL51" s="31" t="s">
        <v>321</v>
      </c>
      <c r="AM51" s="31">
        <v>1800</v>
      </c>
      <c r="AN51" s="34">
        <v>1</v>
      </c>
    </row>
    <row r="52" spans="3:40" x14ac:dyDescent="0.2">
      <c r="C52" s="30">
        <v>49</v>
      </c>
      <c r="D52" s="31">
        <v>47</v>
      </c>
      <c r="E52" s="31" t="s">
        <v>440</v>
      </c>
      <c r="F52" s="32" t="str">
        <f t="shared" si="5"/>
        <v>47 - Lot-et-Garonne</v>
      </c>
      <c r="G52" s="30">
        <v>49</v>
      </c>
      <c r="H52" s="31" t="s">
        <v>315</v>
      </c>
      <c r="I52" s="31" t="s">
        <v>309</v>
      </c>
      <c r="J52" s="31">
        <v>2</v>
      </c>
      <c r="K52" s="31">
        <f t="shared" si="6"/>
        <v>3</v>
      </c>
      <c r="L52" s="31">
        <f t="shared" si="7"/>
        <v>-5</v>
      </c>
      <c r="M52" s="31">
        <f t="shared" si="8"/>
        <v>-6</v>
      </c>
      <c r="N52" s="31" t="s">
        <v>270</v>
      </c>
      <c r="O52" s="35" t="s">
        <v>270</v>
      </c>
      <c r="P52" s="31">
        <v>-5</v>
      </c>
      <c r="Q52" s="31">
        <v>-6</v>
      </c>
      <c r="R52" s="31" t="s">
        <v>270</v>
      </c>
      <c r="S52" s="31" t="s">
        <v>270</v>
      </c>
      <c r="T52" s="31" t="s">
        <v>270</v>
      </c>
      <c r="U52" s="31" t="s">
        <v>270</v>
      </c>
      <c r="V52" s="31" t="s">
        <v>270</v>
      </c>
      <c r="W52" s="31" t="s">
        <v>270</v>
      </c>
      <c r="X52" s="31" t="s">
        <v>270</v>
      </c>
      <c r="Y52" s="31" t="s">
        <v>270</v>
      </c>
      <c r="Z52" s="31" t="s">
        <v>270</v>
      </c>
      <c r="AA52" s="31" t="s">
        <v>270</v>
      </c>
      <c r="AB52" s="31" t="s">
        <v>270</v>
      </c>
      <c r="AC52" s="33">
        <v>5000</v>
      </c>
      <c r="AD52" s="43">
        <v>49800</v>
      </c>
      <c r="AE52" s="31"/>
      <c r="AF52" s="31"/>
      <c r="AG52" s="31">
        <v>87</v>
      </c>
      <c r="AH52" s="31"/>
      <c r="AI52" s="31">
        <f t="shared" si="9"/>
        <v>87</v>
      </c>
      <c r="AJ52" s="31"/>
      <c r="AK52" s="31"/>
      <c r="AL52" s="31" t="s">
        <v>321</v>
      </c>
      <c r="AM52" s="31">
        <v>1800</v>
      </c>
      <c r="AN52" s="34">
        <v>1</v>
      </c>
    </row>
    <row r="53" spans="3:40" x14ac:dyDescent="0.2">
      <c r="C53" s="30">
        <v>50</v>
      </c>
      <c r="D53" s="31">
        <v>48</v>
      </c>
      <c r="E53" s="31" t="s">
        <v>441</v>
      </c>
      <c r="F53" s="32" t="str">
        <f t="shared" si="5"/>
        <v>48 - Lozère</v>
      </c>
      <c r="G53" s="30">
        <v>50</v>
      </c>
      <c r="H53" s="31" t="s">
        <v>315</v>
      </c>
      <c r="I53" s="31" t="s">
        <v>316</v>
      </c>
      <c r="J53" s="31">
        <v>2</v>
      </c>
      <c r="K53" s="31">
        <f t="shared" si="6"/>
        <v>13</v>
      </c>
      <c r="L53" s="31">
        <f t="shared" si="7"/>
        <v>-8</v>
      </c>
      <c r="M53" s="31">
        <f t="shared" si="8"/>
        <v>-19</v>
      </c>
      <c r="N53" s="31" t="s">
        <v>270</v>
      </c>
      <c r="O53" s="35" t="s">
        <v>270</v>
      </c>
      <c r="P53" s="31">
        <v>-8</v>
      </c>
      <c r="Q53" s="31">
        <v>-9</v>
      </c>
      <c r="R53" s="31">
        <v>-10</v>
      </c>
      <c r="S53" s="31">
        <v>-11</v>
      </c>
      <c r="T53" s="31">
        <v>-12</v>
      </c>
      <c r="U53" s="31">
        <v>-13</v>
      </c>
      <c r="V53" s="31">
        <v>-14</v>
      </c>
      <c r="W53" s="31">
        <v>-15</v>
      </c>
      <c r="X53" s="31">
        <v>-16</v>
      </c>
      <c r="Y53" s="31">
        <v>-17</v>
      </c>
      <c r="Z53" s="31">
        <v>-18</v>
      </c>
      <c r="AA53" s="31">
        <v>-19</v>
      </c>
      <c r="AB53" s="31" t="s">
        <v>270</v>
      </c>
      <c r="AC53" s="33">
        <v>4600</v>
      </c>
      <c r="AD53" s="43">
        <v>64800</v>
      </c>
      <c r="AE53" s="31"/>
      <c r="AF53" s="31"/>
      <c r="AG53" s="31">
        <v>100</v>
      </c>
      <c r="AH53" s="31"/>
      <c r="AI53" s="31">
        <f t="shared" si="9"/>
        <v>100</v>
      </c>
      <c r="AJ53" s="31">
        <v>1.5</v>
      </c>
      <c r="AK53" s="31"/>
      <c r="AL53" s="31" t="s">
        <v>321</v>
      </c>
      <c r="AM53" s="31">
        <v>1800</v>
      </c>
      <c r="AN53" s="34">
        <v>1</v>
      </c>
    </row>
    <row r="54" spans="3:40" x14ac:dyDescent="0.2">
      <c r="C54" s="30">
        <v>51</v>
      </c>
      <c r="D54" s="31">
        <v>49</v>
      </c>
      <c r="E54" s="31" t="s">
        <v>442</v>
      </c>
      <c r="F54" s="32" t="str">
        <f t="shared" si="5"/>
        <v>49 - Maine-et-Loire</v>
      </c>
      <c r="G54" s="30">
        <v>51</v>
      </c>
      <c r="H54" s="31" t="s">
        <v>315</v>
      </c>
      <c r="I54" s="31" t="s">
        <v>328</v>
      </c>
      <c r="J54" s="31">
        <v>2</v>
      </c>
      <c r="K54" s="31">
        <f t="shared" si="6"/>
        <v>3</v>
      </c>
      <c r="L54" s="31">
        <f t="shared" si="7"/>
        <v>-7</v>
      </c>
      <c r="M54" s="31">
        <f t="shared" si="8"/>
        <v>-8</v>
      </c>
      <c r="N54" s="31" t="s">
        <v>270</v>
      </c>
      <c r="O54" s="35" t="s">
        <v>270</v>
      </c>
      <c r="P54" s="31">
        <v>-7</v>
      </c>
      <c r="Q54" s="31">
        <v>-8</v>
      </c>
      <c r="R54" s="31" t="s">
        <v>270</v>
      </c>
      <c r="S54" s="31" t="s">
        <v>270</v>
      </c>
      <c r="T54" s="31" t="s">
        <v>270</v>
      </c>
      <c r="U54" s="31" t="s">
        <v>270</v>
      </c>
      <c r="V54" s="31" t="s">
        <v>270</v>
      </c>
      <c r="W54" s="31" t="s">
        <v>270</v>
      </c>
      <c r="X54" s="31" t="s">
        <v>270</v>
      </c>
      <c r="Y54" s="31" t="s">
        <v>270</v>
      </c>
      <c r="Z54" s="31" t="s">
        <v>270</v>
      </c>
      <c r="AA54" s="31" t="s">
        <v>270</v>
      </c>
      <c r="AB54" s="31" t="s">
        <v>270</v>
      </c>
      <c r="AC54" s="33">
        <v>5200</v>
      </c>
      <c r="AD54" s="43">
        <v>55000</v>
      </c>
      <c r="AE54" s="31"/>
      <c r="AF54" s="31"/>
      <c r="AG54" s="31">
        <v>83</v>
      </c>
      <c r="AH54" s="31"/>
      <c r="AI54" s="31">
        <f t="shared" si="9"/>
        <v>83</v>
      </c>
      <c r="AJ54" s="31"/>
      <c r="AK54" s="31"/>
      <c r="AL54" s="31" t="s">
        <v>310</v>
      </c>
      <c r="AM54" s="31">
        <v>1450</v>
      </c>
      <c r="AN54" s="34">
        <v>1</v>
      </c>
    </row>
    <row r="55" spans="3:40" x14ac:dyDescent="0.2">
      <c r="C55" s="30">
        <v>52</v>
      </c>
      <c r="D55" s="31">
        <v>50</v>
      </c>
      <c r="E55" s="31" t="s">
        <v>443</v>
      </c>
      <c r="F55" s="32" t="str">
        <f t="shared" si="5"/>
        <v>50 - Manche</v>
      </c>
      <c r="G55" s="30">
        <v>52</v>
      </c>
      <c r="H55" s="31" t="s">
        <v>315</v>
      </c>
      <c r="I55" s="31" t="s">
        <v>312</v>
      </c>
      <c r="J55" s="31">
        <v>0</v>
      </c>
      <c r="K55" s="31">
        <f t="shared" si="6"/>
        <v>3</v>
      </c>
      <c r="L55" s="31">
        <f t="shared" si="7"/>
        <v>-2</v>
      </c>
      <c r="M55" s="31">
        <f t="shared" si="8"/>
        <v>-5</v>
      </c>
      <c r="N55" s="31">
        <v>-2</v>
      </c>
      <c r="O55" s="35">
        <v>-2</v>
      </c>
      <c r="P55" s="31">
        <v>-4</v>
      </c>
      <c r="Q55" s="31">
        <v>-5</v>
      </c>
      <c r="R55" s="31" t="s">
        <v>270</v>
      </c>
      <c r="S55" s="31" t="s">
        <v>270</v>
      </c>
      <c r="T55" s="31" t="s">
        <v>270</v>
      </c>
      <c r="U55" s="31" t="s">
        <v>270</v>
      </c>
      <c r="V55" s="31" t="s">
        <v>270</v>
      </c>
      <c r="W55" s="31" t="s">
        <v>270</v>
      </c>
      <c r="X55" s="31" t="s">
        <v>270</v>
      </c>
      <c r="Y55" s="31" t="s">
        <v>270</v>
      </c>
      <c r="Z55" s="31" t="s">
        <v>270</v>
      </c>
      <c r="AA55" s="31" t="s">
        <v>270</v>
      </c>
      <c r="AB55" s="31" t="s">
        <v>270</v>
      </c>
      <c r="AC55" s="33">
        <v>5700</v>
      </c>
      <c r="AD55" s="43">
        <v>49700</v>
      </c>
      <c r="AE55" s="31"/>
      <c r="AF55" s="31"/>
      <c r="AG55" s="31">
        <v>76</v>
      </c>
      <c r="AH55" s="31"/>
      <c r="AI55" s="31">
        <f t="shared" si="9"/>
        <v>76</v>
      </c>
      <c r="AJ55" s="31"/>
      <c r="AK55" s="31">
        <v>4</v>
      </c>
      <c r="AL55" s="31" t="s">
        <v>306</v>
      </c>
      <c r="AM55" s="31">
        <v>1250</v>
      </c>
      <c r="AN55" s="34">
        <v>1</v>
      </c>
    </row>
    <row r="56" spans="3:40" x14ac:dyDescent="0.2">
      <c r="C56" s="30">
        <v>53</v>
      </c>
      <c r="D56" s="31">
        <v>51</v>
      </c>
      <c r="E56" s="31" t="s">
        <v>444</v>
      </c>
      <c r="F56" s="32" t="str">
        <f t="shared" si="5"/>
        <v>51 - Marne</v>
      </c>
      <c r="G56" s="30">
        <v>53</v>
      </c>
      <c r="H56" s="31" t="s">
        <v>308</v>
      </c>
      <c r="I56" s="31" t="s">
        <v>328</v>
      </c>
      <c r="J56" s="31">
        <v>2</v>
      </c>
      <c r="K56" s="31">
        <f t="shared" si="6"/>
        <v>3</v>
      </c>
      <c r="L56" s="31">
        <f t="shared" si="7"/>
        <v>-10</v>
      </c>
      <c r="M56" s="31">
        <f t="shared" si="8"/>
        <v>-11</v>
      </c>
      <c r="N56" s="31" t="s">
        <v>270</v>
      </c>
      <c r="O56" s="35" t="s">
        <v>270</v>
      </c>
      <c r="P56" s="31">
        <v>-10</v>
      </c>
      <c r="Q56" s="31">
        <v>-11</v>
      </c>
      <c r="R56" s="31" t="s">
        <v>270</v>
      </c>
      <c r="S56" s="31" t="s">
        <v>270</v>
      </c>
      <c r="T56" s="31" t="s">
        <v>270</v>
      </c>
      <c r="U56" s="31" t="s">
        <v>270</v>
      </c>
      <c r="V56" s="31" t="s">
        <v>270</v>
      </c>
      <c r="W56" s="31" t="s">
        <v>270</v>
      </c>
      <c r="X56" s="31" t="s">
        <v>270</v>
      </c>
      <c r="Y56" s="31" t="s">
        <v>270</v>
      </c>
      <c r="Z56" s="31" t="s">
        <v>270</v>
      </c>
      <c r="AA56" s="31" t="s">
        <v>270</v>
      </c>
      <c r="AB56" s="31" t="s">
        <v>270</v>
      </c>
      <c r="AC56" s="33">
        <v>5600</v>
      </c>
      <c r="AD56" s="43">
        <v>65000</v>
      </c>
      <c r="AE56" s="31"/>
      <c r="AF56" s="31"/>
      <c r="AG56" s="31">
        <v>74</v>
      </c>
      <c r="AH56" s="31"/>
      <c r="AI56" s="31">
        <f t="shared" si="9"/>
        <v>74</v>
      </c>
      <c r="AJ56" s="31"/>
      <c r="AK56" s="31"/>
      <c r="AL56" s="31" t="s">
        <v>306</v>
      </c>
      <c r="AM56" s="31">
        <v>1250</v>
      </c>
      <c r="AN56" s="34">
        <v>1</v>
      </c>
    </row>
    <row r="57" spans="3:40" x14ac:dyDescent="0.2">
      <c r="C57" s="30">
        <v>54</v>
      </c>
      <c r="D57" s="31">
        <v>52</v>
      </c>
      <c r="E57" s="31" t="s">
        <v>445</v>
      </c>
      <c r="F57" s="32" t="str">
        <f t="shared" si="5"/>
        <v>52 - Haute-Marne</v>
      </c>
      <c r="G57" s="30">
        <v>54</v>
      </c>
      <c r="H57" s="31" t="s">
        <v>308</v>
      </c>
      <c r="I57" s="31" t="s">
        <v>328</v>
      </c>
      <c r="J57" s="31">
        <v>2</v>
      </c>
      <c r="K57" s="31">
        <f t="shared" si="6"/>
        <v>5</v>
      </c>
      <c r="L57" s="31">
        <f t="shared" si="7"/>
        <v>-12</v>
      </c>
      <c r="M57" s="31">
        <f t="shared" si="8"/>
        <v>-15</v>
      </c>
      <c r="N57" s="31" t="s">
        <v>270</v>
      </c>
      <c r="O57" s="35" t="s">
        <v>270</v>
      </c>
      <c r="P57" s="31">
        <v>-12</v>
      </c>
      <c r="Q57" s="31">
        <v>-13</v>
      </c>
      <c r="R57" s="31">
        <v>-14</v>
      </c>
      <c r="S57" s="31">
        <v>-15</v>
      </c>
      <c r="T57" s="31" t="s">
        <v>270</v>
      </c>
      <c r="U57" s="31" t="s">
        <v>270</v>
      </c>
      <c r="V57" s="31" t="s">
        <v>270</v>
      </c>
      <c r="W57" s="31" t="s">
        <v>270</v>
      </c>
      <c r="X57" s="31" t="s">
        <v>270</v>
      </c>
      <c r="Y57" s="31" t="s">
        <v>270</v>
      </c>
      <c r="Z57" s="31" t="s">
        <v>270</v>
      </c>
      <c r="AA57" s="31" t="s">
        <v>270</v>
      </c>
      <c r="AB57" s="31" t="s">
        <v>270</v>
      </c>
      <c r="AC57" s="33">
        <v>5200</v>
      </c>
      <c r="AD57" s="43">
        <v>62700</v>
      </c>
      <c r="AE57" s="31"/>
      <c r="AF57" s="31"/>
      <c r="AG57" s="31">
        <v>73</v>
      </c>
      <c r="AH57" s="31"/>
      <c r="AI57" s="31">
        <f t="shared" si="9"/>
        <v>73</v>
      </c>
      <c r="AJ57" s="31">
        <v>1.5</v>
      </c>
      <c r="AK57" s="31"/>
      <c r="AL57" s="31" t="s">
        <v>306</v>
      </c>
      <c r="AM57" s="31">
        <v>1250</v>
      </c>
      <c r="AN57" s="34">
        <v>1</v>
      </c>
    </row>
    <row r="58" spans="3:40" x14ac:dyDescent="0.2">
      <c r="C58" s="30">
        <v>55</v>
      </c>
      <c r="D58" s="31">
        <v>53</v>
      </c>
      <c r="E58" s="31" t="s">
        <v>446</v>
      </c>
      <c r="F58" s="32" t="str">
        <f t="shared" si="5"/>
        <v>53 - Mayenne</v>
      </c>
      <c r="G58" s="30">
        <v>55</v>
      </c>
      <c r="H58" s="31" t="s">
        <v>315</v>
      </c>
      <c r="I58" s="31" t="s">
        <v>328</v>
      </c>
      <c r="J58" s="31">
        <v>2</v>
      </c>
      <c r="K58" s="31">
        <f t="shared" si="6"/>
        <v>3</v>
      </c>
      <c r="L58" s="31">
        <f t="shared" si="7"/>
        <v>-7</v>
      </c>
      <c r="M58" s="31">
        <f t="shared" si="8"/>
        <v>-8</v>
      </c>
      <c r="N58" s="31" t="s">
        <v>270</v>
      </c>
      <c r="O58" s="35" t="s">
        <v>270</v>
      </c>
      <c r="P58" s="31">
        <v>-7</v>
      </c>
      <c r="Q58" s="31">
        <v>-8</v>
      </c>
      <c r="R58" s="31" t="s">
        <v>270</v>
      </c>
      <c r="S58" s="31" t="s">
        <v>270</v>
      </c>
      <c r="T58" s="31" t="s">
        <v>270</v>
      </c>
      <c r="U58" s="31" t="s">
        <v>270</v>
      </c>
      <c r="V58" s="31" t="s">
        <v>270</v>
      </c>
      <c r="W58" s="31" t="s">
        <v>270</v>
      </c>
      <c r="X58" s="31" t="s">
        <v>270</v>
      </c>
      <c r="Y58" s="31" t="s">
        <v>270</v>
      </c>
      <c r="Z58" s="31" t="s">
        <v>270</v>
      </c>
      <c r="AA58" s="31" t="s">
        <v>270</v>
      </c>
      <c r="AB58" s="31" t="s">
        <v>270</v>
      </c>
      <c r="AC58" s="33">
        <v>5200</v>
      </c>
      <c r="AD58" s="43">
        <v>55200</v>
      </c>
      <c r="AE58" s="31"/>
      <c r="AF58" s="31"/>
      <c r="AG58" s="31">
        <v>81</v>
      </c>
      <c r="AH58" s="31"/>
      <c r="AI58" s="31">
        <f t="shared" si="9"/>
        <v>81</v>
      </c>
      <c r="AJ58" s="31"/>
      <c r="AK58" s="31"/>
      <c r="AL58" s="31" t="s">
        <v>310</v>
      </c>
      <c r="AM58" s="31">
        <v>1450</v>
      </c>
      <c r="AN58" s="34">
        <v>1</v>
      </c>
    </row>
    <row r="59" spans="3:40" x14ac:dyDescent="0.2">
      <c r="C59" s="30">
        <v>56</v>
      </c>
      <c r="D59" s="31">
        <v>54</v>
      </c>
      <c r="E59" s="31" t="s">
        <v>447</v>
      </c>
      <c r="F59" s="32" t="str">
        <f t="shared" si="5"/>
        <v>54 - Meurthe-et-Moselle</v>
      </c>
      <c r="G59" s="30">
        <v>56</v>
      </c>
      <c r="H59" s="31" t="s">
        <v>308</v>
      </c>
      <c r="I59" s="31" t="s">
        <v>328</v>
      </c>
      <c r="J59" s="31">
        <v>2</v>
      </c>
      <c r="K59" s="31">
        <f t="shared" si="6"/>
        <v>8</v>
      </c>
      <c r="L59" s="31">
        <f t="shared" si="7"/>
        <v>-15</v>
      </c>
      <c r="M59" s="31">
        <f t="shared" si="8"/>
        <v>-20</v>
      </c>
      <c r="N59" s="31" t="s">
        <v>270</v>
      </c>
      <c r="O59" s="35" t="s">
        <v>270</v>
      </c>
      <c r="P59" s="31">
        <v>-15</v>
      </c>
      <c r="Q59" s="31">
        <v>-15</v>
      </c>
      <c r="R59" s="31">
        <v>-16</v>
      </c>
      <c r="S59" s="31">
        <v>-17</v>
      </c>
      <c r="T59" s="31">
        <v>-18</v>
      </c>
      <c r="U59" s="31">
        <v>-19</v>
      </c>
      <c r="V59" s="31">
        <v>-20</v>
      </c>
      <c r="W59" s="31" t="s">
        <v>270</v>
      </c>
      <c r="X59" s="31" t="s">
        <v>270</v>
      </c>
      <c r="Y59" s="31" t="s">
        <v>270</v>
      </c>
      <c r="Z59" s="31" t="s">
        <v>270</v>
      </c>
      <c r="AA59" s="31" t="s">
        <v>270</v>
      </c>
      <c r="AB59" s="31" t="s">
        <v>270</v>
      </c>
      <c r="AC59" s="33">
        <v>5800</v>
      </c>
      <c r="AD59" s="43">
        <v>66500</v>
      </c>
      <c r="AE59" s="31"/>
      <c r="AF59" s="31"/>
      <c r="AG59" s="31">
        <v>69</v>
      </c>
      <c r="AH59" s="31"/>
      <c r="AI59" s="31">
        <f t="shared" si="9"/>
        <v>69</v>
      </c>
      <c r="AJ59" s="31"/>
      <c r="AK59" s="31"/>
      <c r="AL59" s="31" t="s">
        <v>306</v>
      </c>
      <c r="AM59" s="31">
        <v>1250</v>
      </c>
      <c r="AN59" s="34">
        <v>1</v>
      </c>
    </row>
    <row r="60" spans="3:40" x14ac:dyDescent="0.2">
      <c r="C60" s="30">
        <v>57</v>
      </c>
      <c r="D60" s="31">
        <v>55</v>
      </c>
      <c r="E60" s="31" t="s">
        <v>448</v>
      </c>
      <c r="F60" s="32" t="str">
        <f t="shared" si="5"/>
        <v>55 - Meuse</v>
      </c>
      <c r="G60" s="30">
        <v>57</v>
      </c>
      <c r="H60" s="31" t="s">
        <v>308</v>
      </c>
      <c r="I60" s="31" t="s">
        <v>328</v>
      </c>
      <c r="J60" s="31">
        <v>2</v>
      </c>
      <c r="K60" s="31">
        <f t="shared" si="6"/>
        <v>4</v>
      </c>
      <c r="L60" s="31">
        <f t="shared" si="7"/>
        <v>-12</v>
      </c>
      <c r="M60" s="31">
        <f t="shared" si="8"/>
        <v>-14</v>
      </c>
      <c r="N60" s="31" t="s">
        <v>270</v>
      </c>
      <c r="O60" s="35" t="s">
        <v>270</v>
      </c>
      <c r="P60" s="31">
        <v>-12</v>
      </c>
      <c r="Q60" s="31">
        <v>-13</v>
      </c>
      <c r="R60" s="31">
        <v>-14</v>
      </c>
      <c r="S60" s="31" t="s">
        <v>270</v>
      </c>
      <c r="T60" s="31" t="s">
        <v>270</v>
      </c>
      <c r="U60" s="31" t="s">
        <v>270</v>
      </c>
      <c r="V60" s="31" t="s">
        <v>270</v>
      </c>
      <c r="W60" s="31" t="s">
        <v>270</v>
      </c>
      <c r="X60" s="31" t="s">
        <v>270</v>
      </c>
      <c r="Y60" s="31" t="s">
        <v>270</v>
      </c>
      <c r="Z60" s="31" t="s">
        <v>270</v>
      </c>
      <c r="AA60" s="31" t="s">
        <v>270</v>
      </c>
      <c r="AB60" s="31" t="s">
        <v>270</v>
      </c>
      <c r="AC60" s="33">
        <v>5600</v>
      </c>
      <c r="AD60" s="43">
        <v>71200</v>
      </c>
      <c r="AE60" s="31"/>
      <c r="AF60" s="31"/>
      <c r="AG60" s="31">
        <v>71</v>
      </c>
      <c r="AH60" s="31"/>
      <c r="AI60" s="31">
        <f t="shared" si="9"/>
        <v>71</v>
      </c>
      <c r="AJ60" s="31"/>
      <c r="AK60" s="31"/>
      <c r="AL60" s="31" t="s">
        <v>306</v>
      </c>
      <c r="AM60" s="31">
        <v>1250</v>
      </c>
      <c r="AN60" s="34">
        <v>1</v>
      </c>
    </row>
    <row r="61" spans="3:40" x14ac:dyDescent="0.2">
      <c r="C61" s="30">
        <v>58</v>
      </c>
      <c r="D61" s="31">
        <v>56</v>
      </c>
      <c r="E61" s="31" t="s">
        <v>449</v>
      </c>
      <c r="F61" s="32" t="str">
        <f t="shared" si="5"/>
        <v>56 - Morbihan</v>
      </c>
      <c r="G61" s="30">
        <v>58</v>
      </c>
      <c r="H61" s="31" t="s">
        <v>315</v>
      </c>
      <c r="I61" s="31" t="s">
        <v>312</v>
      </c>
      <c r="J61" s="31">
        <v>0</v>
      </c>
      <c r="K61" s="31">
        <f t="shared" si="6"/>
        <v>3</v>
      </c>
      <c r="L61" s="31">
        <f t="shared" si="7"/>
        <v>-2</v>
      </c>
      <c r="M61" s="31">
        <f t="shared" si="8"/>
        <v>-5</v>
      </c>
      <c r="N61" s="31">
        <v>-2</v>
      </c>
      <c r="O61" s="35">
        <v>-4</v>
      </c>
      <c r="P61" s="31">
        <v>-4</v>
      </c>
      <c r="Q61" s="31">
        <v>-5</v>
      </c>
      <c r="R61" s="31" t="s">
        <v>270</v>
      </c>
      <c r="S61" s="31" t="s">
        <v>270</v>
      </c>
      <c r="T61" s="31" t="s">
        <v>270</v>
      </c>
      <c r="U61" s="31" t="s">
        <v>270</v>
      </c>
      <c r="V61" s="31" t="s">
        <v>270</v>
      </c>
      <c r="W61" s="31" t="s">
        <v>270</v>
      </c>
      <c r="X61" s="31" t="s">
        <v>270</v>
      </c>
      <c r="Y61" s="31" t="s">
        <v>270</v>
      </c>
      <c r="Z61" s="31" t="s">
        <v>270</v>
      </c>
      <c r="AA61" s="31" t="s">
        <v>270</v>
      </c>
      <c r="AB61" s="31" t="s">
        <v>270</v>
      </c>
      <c r="AC61" s="33">
        <v>5100</v>
      </c>
      <c r="AD61" s="43">
        <v>48000</v>
      </c>
      <c r="AE61" s="31"/>
      <c r="AF61" s="31"/>
      <c r="AG61" s="31">
        <v>79</v>
      </c>
      <c r="AH61" s="31"/>
      <c r="AI61" s="31">
        <f t="shared" si="9"/>
        <v>79</v>
      </c>
      <c r="AJ61" s="31"/>
      <c r="AK61" s="31">
        <v>5</v>
      </c>
      <c r="AL61" s="31" t="s">
        <v>310</v>
      </c>
      <c r="AM61" s="31">
        <v>1450</v>
      </c>
      <c r="AN61" s="34">
        <v>1</v>
      </c>
    </row>
    <row r="62" spans="3:40" x14ac:dyDescent="0.2">
      <c r="C62" s="30">
        <v>59</v>
      </c>
      <c r="D62" s="31">
        <v>57</v>
      </c>
      <c r="E62" s="31" t="s">
        <v>454</v>
      </c>
      <c r="F62" s="32" t="str">
        <f t="shared" si="5"/>
        <v>57 - Moselle</v>
      </c>
      <c r="G62" s="30">
        <v>59</v>
      </c>
      <c r="H62" s="31" t="s">
        <v>308</v>
      </c>
      <c r="I62" s="31" t="s">
        <v>328</v>
      </c>
      <c r="J62" s="31">
        <v>2</v>
      </c>
      <c r="K62" s="31">
        <f t="shared" si="6"/>
        <v>8</v>
      </c>
      <c r="L62" s="31">
        <f t="shared" si="7"/>
        <v>-15</v>
      </c>
      <c r="M62" s="31">
        <f t="shared" si="8"/>
        <v>-20</v>
      </c>
      <c r="N62" s="31" t="s">
        <v>270</v>
      </c>
      <c r="O62" s="35" t="s">
        <v>270</v>
      </c>
      <c r="P62" s="31">
        <v>-15</v>
      </c>
      <c r="Q62" s="31">
        <v>-15</v>
      </c>
      <c r="R62" s="31">
        <v>-16</v>
      </c>
      <c r="S62" s="31">
        <v>-17</v>
      </c>
      <c r="T62" s="31">
        <v>-18</v>
      </c>
      <c r="U62" s="31">
        <v>-19</v>
      </c>
      <c r="V62" s="31">
        <v>-20</v>
      </c>
      <c r="W62" s="31" t="s">
        <v>270</v>
      </c>
      <c r="X62" s="31" t="s">
        <v>270</v>
      </c>
      <c r="Y62" s="31" t="s">
        <v>270</v>
      </c>
      <c r="Z62" s="31" t="s">
        <v>270</v>
      </c>
      <c r="AA62" s="31" t="s">
        <v>270</v>
      </c>
      <c r="AB62" s="31" t="s">
        <v>270</v>
      </c>
      <c r="AC62" s="33">
        <v>5600</v>
      </c>
      <c r="AD62" s="43">
        <v>68000</v>
      </c>
      <c r="AE62" s="31"/>
      <c r="AF62" s="31"/>
      <c r="AG62" s="31">
        <v>69</v>
      </c>
      <c r="AH62" s="31"/>
      <c r="AI62" s="31">
        <f t="shared" si="9"/>
        <v>69</v>
      </c>
      <c r="AJ62" s="31"/>
      <c r="AK62" s="31"/>
      <c r="AL62" s="31" t="s">
        <v>306</v>
      </c>
      <c r="AM62" s="31">
        <v>1250</v>
      </c>
      <c r="AN62" s="34">
        <v>1</v>
      </c>
    </row>
    <row r="63" spans="3:40" x14ac:dyDescent="0.2">
      <c r="C63" s="30">
        <v>60</v>
      </c>
      <c r="D63" s="31">
        <v>58</v>
      </c>
      <c r="E63" s="31" t="s">
        <v>455</v>
      </c>
      <c r="F63" s="32" t="str">
        <f t="shared" si="5"/>
        <v>58 - Nièvre</v>
      </c>
      <c r="G63" s="30">
        <v>60</v>
      </c>
      <c r="H63" s="31" t="s">
        <v>308</v>
      </c>
      <c r="I63" s="31" t="s">
        <v>328</v>
      </c>
      <c r="J63" s="31">
        <v>2</v>
      </c>
      <c r="K63" s="31">
        <f t="shared" si="6"/>
        <v>12</v>
      </c>
      <c r="L63" s="31">
        <f t="shared" si="7"/>
        <v>-10</v>
      </c>
      <c r="M63" s="31">
        <f t="shared" si="8"/>
        <v>-20</v>
      </c>
      <c r="N63" s="31" t="s">
        <v>270</v>
      </c>
      <c r="O63" s="35" t="s">
        <v>270</v>
      </c>
      <c r="P63" s="31">
        <v>-10</v>
      </c>
      <c r="Q63" s="31">
        <v>-11</v>
      </c>
      <c r="R63" s="31">
        <v>-12</v>
      </c>
      <c r="S63" s="31">
        <v>-13</v>
      </c>
      <c r="T63" s="31">
        <v>-14</v>
      </c>
      <c r="U63" s="31">
        <v>-15</v>
      </c>
      <c r="V63" s="31">
        <v>-16</v>
      </c>
      <c r="W63" s="31">
        <v>-17</v>
      </c>
      <c r="X63" s="31">
        <v>-18</v>
      </c>
      <c r="Y63" s="31">
        <v>-19</v>
      </c>
      <c r="Z63" s="31">
        <v>-20</v>
      </c>
      <c r="AA63" s="31" t="s">
        <v>270</v>
      </c>
      <c r="AB63" s="31" t="s">
        <v>270</v>
      </c>
      <c r="AC63" s="33">
        <v>5200</v>
      </c>
      <c r="AD63" s="43">
        <v>60800</v>
      </c>
      <c r="AE63" s="31"/>
      <c r="AF63" s="31"/>
      <c r="AG63" s="31">
        <v>76</v>
      </c>
      <c r="AH63" s="31"/>
      <c r="AI63" s="31">
        <f t="shared" si="9"/>
        <v>76</v>
      </c>
      <c r="AJ63" s="31">
        <v>1.5</v>
      </c>
      <c r="AK63" s="31"/>
      <c r="AL63" s="31" t="s">
        <v>310</v>
      </c>
      <c r="AM63" s="31">
        <v>1450</v>
      </c>
      <c r="AN63" s="34">
        <v>1</v>
      </c>
    </row>
    <row r="64" spans="3:40" x14ac:dyDescent="0.2">
      <c r="C64" s="30">
        <v>61</v>
      </c>
      <c r="D64" s="31">
        <v>59</v>
      </c>
      <c r="E64" s="31" t="s">
        <v>325</v>
      </c>
      <c r="F64" s="32" t="str">
        <f t="shared" si="5"/>
        <v>59 - Nord</v>
      </c>
      <c r="G64" s="30">
        <v>61</v>
      </c>
      <c r="H64" s="31" t="s">
        <v>308</v>
      </c>
      <c r="I64" s="31" t="s">
        <v>312</v>
      </c>
      <c r="J64" s="31">
        <v>0</v>
      </c>
      <c r="K64" s="31">
        <f t="shared" si="6"/>
        <v>3</v>
      </c>
      <c r="L64" s="31">
        <f t="shared" si="7"/>
        <v>-7</v>
      </c>
      <c r="M64" s="31">
        <f t="shared" si="8"/>
        <v>-10</v>
      </c>
      <c r="N64" s="31">
        <v>-7</v>
      </c>
      <c r="O64" s="35">
        <v>-9</v>
      </c>
      <c r="P64" s="31">
        <v>-9</v>
      </c>
      <c r="Q64" s="31">
        <v>-10</v>
      </c>
      <c r="R64" s="31" t="s">
        <v>270</v>
      </c>
      <c r="S64" s="31" t="s">
        <v>270</v>
      </c>
      <c r="T64" s="31" t="s">
        <v>270</v>
      </c>
      <c r="U64" s="31" t="s">
        <v>270</v>
      </c>
      <c r="V64" s="31" t="s">
        <v>270</v>
      </c>
      <c r="W64" s="31" t="s">
        <v>270</v>
      </c>
      <c r="X64" s="31" t="s">
        <v>270</v>
      </c>
      <c r="Y64" s="31" t="s">
        <v>270</v>
      </c>
      <c r="Z64" s="31" t="s">
        <v>270</v>
      </c>
      <c r="AA64" s="31" t="s">
        <v>270</v>
      </c>
      <c r="AB64" s="31" t="s">
        <v>270</v>
      </c>
      <c r="AC64" s="33">
        <v>5500</v>
      </c>
      <c r="AD64" s="43">
        <v>60000</v>
      </c>
      <c r="AE64" s="31"/>
      <c r="AF64" s="31"/>
      <c r="AG64" s="31">
        <v>69</v>
      </c>
      <c r="AH64" s="31"/>
      <c r="AI64" s="31">
        <f t="shared" si="9"/>
        <v>69</v>
      </c>
      <c r="AJ64" s="31"/>
      <c r="AK64" s="31">
        <v>5</v>
      </c>
      <c r="AL64" s="31" t="s">
        <v>306</v>
      </c>
      <c r="AM64" s="31">
        <v>1250</v>
      </c>
      <c r="AN64" s="34">
        <v>1</v>
      </c>
    </row>
    <row r="65" spans="3:40" x14ac:dyDescent="0.2">
      <c r="C65" s="30">
        <v>62</v>
      </c>
      <c r="D65" s="31">
        <v>60</v>
      </c>
      <c r="E65" s="31" t="s">
        <v>456</v>
      </c>
      <c r="F65" s="32" t="str">
        <f t="shared" si="5"/>
        <v>60 - Oise</v>
      </c>
      <c r="G65" s="30">
        <v>62</v>
      </c>
      <c r="H65" s="31" t="s">
        <v>308</v>
      </c>
      <c r="I65" s="31" t="s">
        <v>312</v>
      </c>
      <c r="J65" s="31">
        <v>2</v>
      </c>
      <c r="K65" s="31">
        <f t="shared" si="6"/>
        <v>3</v>
      </c>
      <c r="L65" s="31">
        <f t="shared" si="7"/>
        <v>-7</v>
      </c>
      <c r="M65" s="31">
        <f t="shared" si="8"/>
        <v>-8</v>
      </c>
      <c r="N65" s="31" t="s">
        <v>270</v>
      </c>
      <c r="O65" s="35" t="s">
        <v>270</v>
      </c>
      <c r="P65" s="31">
        <v>-7</v>
      </c>
      <c r="Q65" s="31">
        <v>-8</v>
      </c>
      <c r="R65" s="31" t="s">
        <v>270</v>
      </c>
      <c r="S65" s="31" t="s">
        <v>270</v>
      </c>
      <c r="T65" s="31" t="s">
        <v>270</v>
      </c>
      <c r="U65" s="31" t="s">
        <v>270</v>
      </c>
      <c r="V65" s="31" t="s">
        <v>270</v>
      </c>
      <c r="W65" s="31" t="s">
        <v>270</v>
      </c>
      <c r="X65" s="31" t="s">
        <v>270</v>
      </c>
      <c r="Y65" s="31" t="s">
        <v>270</v>
      </c>
      <c r="Z65" s="31" t="s">
        <v>270</v>
      </c>
      <c r="AA65" s="31" t="s">
        <v>270</v>
      </c>
      <c r="AB65" s="31" t="s">
        <v>270</v>
      </c>
      <c r="AC65" s="33">
        <v>5700</v>
      </c>
      <c r="AD65" s="43">
        <v>61200</v>
      </c>
      <c r="AE65" s="31"/>
      <c r="AF65" s="31"/>
      <c r="AG65" s="31">
        <v>75</v>
      </c>
      <c r="AH65" s="31"/>
      <c r="AI65" s="31">
        <f t="shared" si="9"/>
        <v>75</v>
      </c>
      <c r="AJ65" s="31"/>
      <c r="AK65" s="31"/>
      <c r="AL65" s="31" t="s">
        <v>306</v>
      </c>
      <c r="AM65" s="31">
        <v>1250</v>
      </c>
      <c r="AN65" s="34">
        <v>1</v>
      </c>
    </row>
    <row r="66" spans="3:40" x14ac:dyDescent="0.2">
      <c r="C66" s="30">
        <v>63</v>
      </c>
      <c r="D66" s="31">
        <v>61</v>
      </c>
      <c r="E66" s="31" t="s">
        <v>457</v>
      </c>
      <c r="F66" s="32" t="str">
        <f t="shared" si="5"/>
        <v>61 - Orne</v>
      </c>
      <c r="G66" s="30">
        <v>63</v>
      </c>
      <c r="H66" s="31" t="s">
        <v>308</v>
      </c>
      <c r="I66" s="31" t="s">
        <v>312</v>
      </c>
      <c r="J66" s="31">
        <v>2</v>
      </c>
      <c r="K66" s="31">
        <f t="shared" si="6"/>
        <v>4</v>
      </c>
      <c r="L66" s="31">
        <f t="shared" si="7"/>
        <v>-7</v>
      </c>
      <c r="M66" s="31">
        <f t="shared" si="8"/>
        <v>-9</v>
      </c>
      <c r="N66" s="31" t="s">
        <v>270</v>
      </c>
      <c r="O66" s="35" t="s">
        <v>270</v>
      </c>
      <c r="P66" s="31">
        <v>-7</v>
      </c>
      <c r="Q66" s="31">
        <v>-8</v>
      </c>
      <c r="R66" s="31">
        <v>-9</v>
      </c>
      <c r="S66" s="31" t="s">
        <v>270</v>
      </c>
      <c r="T66" s="31" t="s">
        <v>270</v>
      </c>
      <c r="U66" s="31" t="s">
        <v>270</v>
      </c>
      <c r="V66" s="31" t="s">
        <v>270</v>
      </c>
      <c r="W66" s="31" t="s">
        <v>270</v>
      </c>
      <c r="X66" s="31" t="s">
        <v>270</v>
      </c>
      <c r="Y66" s="31" t="s">
        <v>270</v>
      </c>
      <c r="Z66" s="31" t="s">
        <v>270</v>
      </c>
      <c r="AA66" s="31" t="s">
        <v>270</v>
      </c>
      <c r="AB66" s="31" t="s">
        <v>270</v>
      </c>
      <c r="AC66" s="33">
        <v>5600</v>
      </c>
      <c r="AD66" s="43">
        <v>60900</v>
      </c>
      <c r="AE66" s="31"/>
      <c r="AF66" s="31"/>
      <c r="AG66" s="31">
        <v>79</v>
      </c>
      <c r="AH66" s="31"/>
      <c r="AI66" s="31">
        <f t="shared" si="9"/>
        <v>79</v>
      </c>
      <c r="AJ66" s="31"/>
      <c r="AK66" s="31"/>
      <c r="AL66" s="31" t="s">
        <v>306</v>
      </c>
      <c r="AM66" s="31">
        <v>1250</v>
      </c>
      <c r="AN66" s="34">
        <v>1</v>
      </c>
    </row>
    <row r="67" spans="3:40" x14ac:dyDescent="0.2">
      <c r="C67" s="30">
        <v>64</v>
      </c>
      <c r="D67" s="31">
        <v>62</v>
      </c>
      <c r="E67" s="31" t="s">
        <v>458</v>
      </c>
      <c r="F67" s="32" t="str">
        <f t="shared" si="5"/>
        <v>62 - Pas-de-Calais</v>
      </c>
      <c r="G67" s="30">
        <v>64</v>
      </c>
      <c r="H67" s="31" t="s">
        <v>308</v>
      </c>
      <c r="I67" s="31" t="s">
        <v>312</v>
      </c>
      <c r="J67" s="31">
        <v>0</v>
      </c>
      <c r="K67" s="31">
        <f t="shared" si="6"/>
        <v>3</v>
      </c>
      <c r="L67" s="31">
        <f t="shared" si="7"/>
        <v>-7</v>
      </c>
      <c r="M67" s="31">
        <f t="shared" si="8"/>
        <v>-10</v>
      </c>
      <c r="N67" s="31">
        <v>-7</v>
      </c>
      <c r="O67" s="35">
        <v>-9</v>
      </c>
      <c r="P67" s="31">
        <v>-9</v>
      </c>
      <c r="Q67" s="31">
        <v>-10</v>
      </c>
      <c r="R67" s="31" t="s">
        <v>270</v>
      </c>
      <c r="S67" s="31" t="s">
        <v>270</v>
      </c>
      <c r="T67" s="31" t="s">
        <v>270</v>
      </c>
      <c r="U67" s="31" t="s">
        <v>270</v>
      </c>
      <c r="V67" s="31" t="s">
        <v>270</v>
      </c>
      <c r="W67" s="31" t="s">
        <v>270</v>
      </c>
      <c r="X67" s="31" t="s">
        <v>270</v>
      </c>
      <c r="Y67" s="31" t="s">
        <v>270</v>
      </c>
      <c r="Z67" s="31" t="s">
        <v>270</v>
      </c>
      <c r="AA67" s="31" t="s">
        <v>270</v>
      </c>
      <c r="AB67" s="31" t="s">
        <v>270</v>
      </c>
      <c r="AC67" s="33">
        <v>5500</v>
      </c>
      <c r="AD67" s="43">
        <v>60400</v>
      </c>
      <c r="AE67" s="31"/>
      <c r="AF67" s="31"/>
      <c r="AG67" s="31">
        <v>69</v>
      </c>
      <c r="AH67" s="31"/>
      <c r="AI67" s="31">
        <f t="shared" si="9"/>
        <v>69</v>
      </c>
      <c r="AJ67" s="31"/>
      <c r="AK67" s="31">
        <v>5</v>
      </c>
      <c r="AL67" s="31" t="s">
        <v>306</v>
      </c>
      <c r="AM67" s="31">
        <v>1250</v>
      </c>
      <c r="AN67" s="34">
        <v>1</v>
      </c>
    </row>
    <row r="68" spans="3:40" x14ac:dyDescent="0.2">
      <c r="C68" s="30">
        <v>65</v>
      </c>
      <c r="D68" s="31">
        <v>63</v>
      </c>
      <c r="E68" s="31" t="s">
        <v>459</v>
      </c>
      <c r="F68" s="32" t="str">
        <f t="shared" si="5"/>
        <v>63 - Puy-de-Dôme</v>
      </c>
      <c r="G68" s="30">
        <v>65</v>
      </c>
      <c r="H68" s="31" t="s">
        <v>308</v>
      </c>
      <c r="I68" s="31" t="s">
        <v>309</v>
      </c>
      <c r="J68" s="31">
        <v>2</v>
      </c>
      <c r="K68" s="31">
        <f t="shared" si="6"/>
        <v>13</v>
      </c>
      <c r="L68" s="31">
        <f t="shared" si="7"/>
        <v>-8</v>
      </c>
      <c r="M68" s="31">
        <f t="shared" si="8"/>
        <v>-19</v>
      </c>
      <c r="N68" s="31" t="s">
        <v>270</v>
      </c>
      <c r="O68" s="35" t="s">
        <v>270</v>
      </c>
      <c r="P68" s="31">
        <v>-8</v>
      </c>
      <c r="Q68" s="31">
        <v>-9</v>
      </c>
      <c r="R68" s="31">
        <v>-10</v>
      </c>
      <c r="S68" s="31">
        <v>-11</v>
      </c>
      <c r="T68" s="31">
        <v>-12</v>
      </c>
      <c r="U68" s="31">
        <v>-13</v>
      </c>
      <c r="V68" s="31">
        <v>-14</v>
      </c>
      <c r="W68" s="31">
        <v>-15</v>
      </c>
      <c r="X68" s="31">
        <v>-16</v>
      </c>
      <c r="Y68" s="31">
        <v>-17</v>
      </c>
      <c r="Z68" s="31">
        <v>-18</v>
      </c>
      <c r="AA68" s="31">
        <v>-19</v>
      </c>
      <c r="AB68" s="31" t="s">
        <v>270</v>
      </c>
      <c r="AC68" s="33">
        <v>4800</v>
      </c>
      <c r="AD68" s="43">
        <v>60000</v>
      </c>
      <c r="AE68" s="31"/>
      <c r="AF68" s="31"/>
      <c r="AG68" s="31">
        <v>83</v>
      </c>
      <c r="AH68" s="31"/>
      <c r="AI68" s="31">
        <f t="shared" si="9"/>
        <v>83</v>
      </c>
      <c r="AJ68" s="31">
        <v>1.5</v>
      </c>
      <c r="AK68" s="31"/>
      <c r="AL68" s="31" t="s">
        <v>310</v>
      </c>
      <c r="AM68" s="31">
        <v>1450</v>
      </c>
      <c r="AN68" s="34">
        <v>1.1000000000000001</v>
      </c>
    </row>
    <row r="69" spans="3:40" x14ac:dyDescent="0.2">
      <c r="C69" s="30">
        <v>66</v>
      </c>
      <c r="D69" s="31">
        <v>64</v>
      </c>
      <c r="E69" s="31" t="s">
        <v>460</v>
      </c>
      <c r="F69" s="32" t="str">
        <f t="shared" ref="F69:F100" si="10">D69&amp;" - "&amp;E69</f>
        <v>64 - Pyrénées Atlantiques</v>
      </c>
      <c r="G69" s="30">
        <v>66</v>
      </c>
      <c r="H69" s="31" t="s">
        <v>315</v>
      </c>
      <c r="I69" s="31" t="s">
        <v>309</v>
      </c>
      <c r="J69" s="31">
        <v>0</v>
      </c>
      <c r="K69" s="31">
        <f t="shared" ref="K69:K100" si="11">MATCH(M69,N69:AB69,0)-1</f>
        <v>14</v>
      </c>
      <c r="L69" s="31">
        <f t="shared" ref="L69:L100" si="12">MAX(N69:AB69)</f>
        <v>-3</v>
      </c>
      <c r="M69" s="31">
        <f t="shared" ref="M69:M100" si="13">MIN(N69:AB69)</f>
        <v>-12</v>
      </c>
      <c r="N69" s="31">
        <v>-3</v>
      </c>
      <c r="O69" s="35">
        <v>-4</v>
      </c>
      <c r="P69" s="31">
        <v>-5</v>
      </c>
      <c r="Q69" s="31">
        <v>-6</v>
      </c>
      <c r="R69" s="31">
        <v>-7</v>
      </c>
      <c r="S69" s="31">
        <v>-7</v>
      </c>
      <c r="T69" s="31">
        <v>-8</v>
      </c>
      <c r="U69" s="31">
        <v>-8</v>
      </c>
      <c r="V69" s="31">
        <v>-9</v>
      </c>
      <c r="W69" s="31">
        <v>-9</v>
      </c>
      <c r="X69" s="31">
        <v>-10</v>
      </c>
      <c r="Y69" s="31">
        <v>-10</v>
      </c>
      <c r="Z69" s="31">
        <v>-11</v>
      </c>
      <c r="AA69" s="31">
        <v>-11</v>
      </c>
      <c r="AB69" s="31">
        <v>-12</v>
      </c>
      <c r="AC69" s="33">
        <v>4200</v>
      </c>
      <c r="AD69" s="43">
        <v>38400</v>
      </c>
      <c r="AE69" s="31"/>
      <c r="AF69" s="31"/>
      <c r="AG69" s="31">
        <v>98</v>
      </c>
      <c r="AH69" s="31"/>
      <c r="AI69" s="31">
        <f t="shared" ref="AI69:AI100" si="14">IF(AH69=0,AG69,(AG69+AH69)/2)</f>
        <v>98</v>
      </c>
      <c r="AJ69" s="31">
        <v>1.8</v>
      </c>
      <c r="AK69" s="31">
        <v>5</v>
      </c>
      <c r="AL69" s="31" t="s">
        <v>321</v>
      </c>
      <c r="AM69" s="31">
        <v>1800</v>
      </c>
      <c r="AN69" s="34">
        <v>1.1000000000000001</v>
      </c>
    </row>
    <row r="70" spans="3:40" x14ac:dyDescent="0.2">
      <c r="C70" s="30">
        <v>67</v>
      </c>
      <c r="D70" s="31">
        <v>65</v>
      </c>
      <c r="E70" s="31" t="s">
        <v>461</v>
      </c>
      <c r="F70" s="32" t="str">
        <f t="shared" si="10"/>
        <v>65 - Hautes-Pyrénées</v>
      </c>
      <c r="G70" s="30">
        <v>67</v>
      </c>
      <c r="H70" s="31" t="s">
        <v>315</v>
      </c>
      <c r="I70" s="31" t="s">
        <v>309</v>
      </c>
      <c r="J70" s="31">
        <v>2</v>
      </c>
      <c r="K70" s="31">
        <f t="shared" si="11"/>
        <v>14</v>
      </c>
      <c r="L70" s="31">
        <f t="shared" si="12"/>
        <v>-5</v>
      </c>
      <c r="M70" s="31">
        <f t="shared" si="13"/>
        <v>-12</v>
      </c>
      <c r="N70" s="31" t="s">
        <v>270</v>
      </c>
      <c r="O70" s="35" t="s">
        <v>270</v>
      </c>
      <c r="P70" s="31">
        <v>-5</v>
      </c>
      <c r="Q70" s="31">
        <v>-6</v>
      </c>
      <c r="R70" s="31">
        <v>-7</v>
      </c>
      <c r="S70" s="31">
        <v>-7</v>
      </c>
      <c r="T70" s="31">
        <v>-8</v>
      </c>
      <c r="U70" s="31">
        <v>-8</v>
      </c>
      <c r="V70" s="31">
        <v>-9</v>
      </c>
      <c r="W70" s="31">
        <v>-9</v>
      </c>
      <c r="X70" s="31">
        <v>-10</v>
      </c>
      <c r="Y70" s="31">
        <v>-10</v>
      </c>
      <c r="Z70" s="31">
        <v>-11</v>
      </c>
      <c r="AA70" s="31">
        <v>-11</v>
      </c>
      <c r="AB70" s="31">
        <v>-12</v>
      </c>
      <c r="AC70" s="33">
        <v>4600</v>
      </c>
      <c r="AD70" s="43">
        <v>52500</v>
      </c>
      <c r="AE70" s="31"/>
      <c r="AF70" s="31"/>
      <c r="AG70" s="31">
        <v>98</v>
      </c>
      <c r="AH70" s="31"/>
      <c r="AI70" s="31">
        <f t="shared" si="14"/>
        <v>98</v>
      </c>
      <c r="AJ70" s="31">
        <v>1.5</v>
      </c>
      <c r="AK70" s="31"/>
      <c r="AL70" s="31" t="s">
        <v>321</v>
      </c>
      <c r="AM70" s="31">
        <v>1800</v>
      </c>
      <c r="AN70" s="34">
        <v>1</v>
      </c>
    </row>
    <row r="71" spans="3:40" x14ac:dyDescent="0.2">
      <c r="C71" s="30">
        <v>68</v>
      </c>
      <c r="D71" s="31">
        <v>66</v>
      </c>
      <c r="E71" s="31" t="s">
        <v>462</v>
      </c>
      <c r="F71" s="32" t="str">
        <f t="shared" si="10"/>
        <v>66 - Pyrénées-orientales</v>
      </c>
      <c r="G71" s="30">
        <v>68</v>
      </c>
      <c r="H71" s="31" t="s">
        <v>323</v>
      </c>
      <c r="I71" s="31" t="s">
        <v>316</v>
      </c>
      <c r="J71" s="31">
        <v>0</v>
      </c>
      <c r="K71" s="31">
        <f t="shared" si="11"/>
        <v>14</v>
      </c>
      <c r="L71" s="31">
        <f t="shared" si="12"/>
        <v>-2</v>
      </c>
      <c r="M71" s="31">
        <f t="shared" si="13"/>
        <v>-12</v>
      </c>
      <c r="N71" s="31">
        <v>-2</v>
      </c>
      <c r="O71" s="35">
        <v>-4</v>
      </c>
      <c r="P71" s="31">
        <v>-5</v>
      </c>
      <c r="Q71" s="31">
        <v>-6</v>
      </c>
      <c r="R71" s="31">
        <v>-7</v>
      </c>
      <c r="S71" s="31">
        <v>-7</v>
      </c>
      <c r="T71" s="31">
        <v>-8</v>
      </c>
      <c r="U71" s="31">
        <v>-8</v>
      </c>
      <c r="V71" s="31">
        <v>-9</v>
      </c>
      <c r="W71" s="31">
        <v>-9</v>
      </c>
      <c r="X71" s="31">
        <v>-10</v>
      </c>
      <c r="Y71" s="31">
        <v>-10</v>
      </c>
      <c r="Z71" s="31">
        <v>-11</v>
      </c>
      <c r="AA71" s="31">
        <v>-11</v>
      </c>
      <c r="AB71" s="31">
        <v>-12</v>
      </c>
      <c r="AC71" s="33">
        <v>3700</v>
      </c>
      <c r="AD71" s="43">
        <v>36000</v>
      </c>
      <c r="AE71" s="31" t="s">
        <v>332</v>
      </c>
      <c r="AF71" s="36" t="s">
        <v>333</v>
      </c>
      <c r="AG71" s="31">
        <v>140</v>
      </c>
      <c r="AH71" s="31">
        <v>127</v>
      </c>
      <c r="AI71" s="31">
        <f t="shared" si="14"/>
        <v>133.5</v>
      </c>
      <c r="AJ71" s="31">
        <v>1.8</v>
      </c>
      <c r="AK71" s="31">
        <v>5</v>
      </c>
      <c r="AL71" s="31" t="s">
        <v>317</v>
      </c>
      <c r="AM71" s="31">
        <v>2200</v>
      </c>
      <c r="AN71" s="34">
        <v>1.1000000000000001</v>
      </c>
    </row>
    <row r="72" spans="3:40" x14ac:dyDescent="0.2">
      <c r="C72" s="30">
        <v>69</v>
      </c>
      <c r="D72" s="31">
        <v>67</v>
      </c>
      <c r="E72" s="31" t="s">
        <v>463</v>
      </c>
      <c r="F72" s="32" t="str">
        <f t="shared" si="10"/>
        <v>67 - Bas-Rhin</v>
      </c>
      <c r="G72" s="30">
        <v>69</v>
      </c>
      <c r="H72" s="31" t="s">
        <v>308</v>
      </c>
      <c r="I72" s="31" t="s">
        <v>328</v>
      </c>
      <c r="J72" s="31">
        <v>2</v>
      </c>
      <c r="K72" s="31">
        <f t="shared" si="11"/>
        <v>8</v>
      </c>
      <c r="L72" s="31">
        <f t="shared" si="12"/>
        <v>-15</v>
      </c>
      <c r="M72" s="31">
        <f t="shared" si="13"/>
        <v>-20</v>
      </c>
      <c r="N72" s="31" t="s">
        <v>270</v>
      </c>
      <c r="O72" s="35" t="s">
        <v>270</v>
      </c>
      <c r="P72" s="31">
        <v>-15</v>
      </c>
      <c r="Q72" s="31">
        <v>-15</v>
      </c>
      <c r="R72" s="31">
        <v>-16</v>
      </c>
      <c r="S72" s="31">
        <v>-17</v>
      </c>
      <c r="T72" s="31">
        <v>-18</v>
      </c>
      <c r="U72" s="31">
        <v>-19</v>
      </c>
      <c r="V72" s="31">
        <v>-20</v>
      </c>
      <c r="W72" s="31" t="s">
        <v>270</v>
      </c>
      <c r="X72" s="31" t="s">
        <v>270</v>
      </c>
      <c r="Y72" s="31" t="s">
        <v>270</v>
      </c>
      <c r="Z72" s="31" t="s">
        <v>270</v>
      </c>
      <c r="AA72" s="31" t="s">
        <v>270</v>
      </c>
      <c r="AB72" s="31" t="s">
        <v>270</v>
      </c>
      <c r="AC72" s="33">
        <v>5200</v>
      </c>
      <c r="AD72" s="43">
        <v>64800</v>
      </c>
      <c r="AE72" s="31"/>
      <c r="AF72" s="31"/>
      <c r="AG72" s="31">
        <v>66</v>
      </c>
      <c r="AH72" s="31"/>
      <c r="AI72" s="31">
        <f t="shared" si="14"/>
        <v>66</v>
      </c>
      <c r="AJ72" s="31">
        <v>1.5</v>
      </c>
      <c r="AK72" s="31"/>
      <c r="AL72" s="31" t="s">
        <v>306</v>
      </c>
      <c r="AM72" s="31">
        <v>1250</v>
      </c>
      <c r="AN72" s="34">
        <v>1</v>
      </c>
    </row>
    <row r="73" spans="3:40" x14ac:dyDescent="0.2">
      <c r="C73" s="30">
        <v>70</v>
      </c>
      <c r="D73" s="31">
        <v>68</v>
      </c>
      <c r="E73" s="31" t="s">
        <v>464</v>
      </c>
      <c r="F73" s="32" t="str">
        <f t="shared" si="10"/>
        <v>68 - Haut-Rhin</v>
      </c>
      <c r="G73" s="30">
        <v>70</v>
      </c>
      <c r="H73" s="31" t="s">
        <v>308</v>
      </c>
      <c r="I73" s="31" t="s">
        <v>328</v>
      </c>
      <c r="J73" s="31">
        <v>2</v>
      </c>
      <c r="K73" s="31">
        <f t="shared" si="11"/>
        <v>8</v>
      </c>
      <c r="L73" s="31">
        <f t="shared" si="12"/>
        <v>-15</v>
      </c>
      <c r="M73" s="31">
        <f t="shared" si="13"/>
        <v>-20</v>
      </c>
      <c r="N73" s="31" t="s">
        <v>270</v>
      </c>
      <c r="O73" s="35" t="s">
        <v>270</v>
      </c>
      <c r="P73" s="31">
        <v>-15</v>
      </c>
      <c r="Q73" s="31">
        <v>-15</v>
      </c>
      <c r="R73" s="31">
        <v>-16</v>
      </c>
      <c r="S73" s="31">
        <v>-17</v>
      </c>
      <c r="T73" s="31">
        <v>-18</v>
      </c>
      <c r="U73" s="31">
        <v>-19</v>
      </c>
      <c r="V73" s="31">
        <v>-20</v>
      </c>
      <c r="W73" s="31" t="s">
        <v>270</v>
      </c>
      <c r="X73" s="31" t="s">
        <v>270</v>
      </c>
      <c r="Y73" s="31" t="s">
        <v>270</v>
      </c>
      <c r="Z73" s="31" t="s">
        <v>270</v>
      </c>
      <c r="AA73" s="31" t="s">
        <v>270</v>
      </c>
      <c r="AB73" s="31" t="s">
        <v>270</v>
      </c>
      <c r="AC73" s="33">
        <v>5300</v>
      </c>
      <c r="AD73" s="43">
        <v>64000</v>
      </c>
      <c r="AE73" s="31"/>
      <c r="AF73" s="31"/>
      <c r="AG73" s="31">
        <v>69</v>
      </c>
      <c r="AH73" s="31"/>
      <c r="AI73" s="31">
        <f t="shared" si="14"/>
        <v>69</v>
      </c>
      <c r="AJ73" s="31">
        <v>1.5</v>
      </c>
      <c r="AK73" s="31"/>
      <c r="AL73" s="31" t="s">
        <v>306</v>
      </c>
      <c r="AM73" s="31">
        <v>1250</v>
      </c>
      <c r="AN73" s="34">
        <v>1</v>
      </c>
    </row>
    <row r="74" spans="3:40" x14ac:dyDescent="0.2">
      <c r="C74" s="30">
        <v>71</v>
      </c>
      <c r="D74" s="31">
        <v>69</v>
      </c>
      <c r="E74" s="31" t="s">
        <v>465</v>
      </c>
      <c r="F74" s="32" t="str">
        <f t="shared" si="10"/>
        <v>69 - Rhône</v>
      </c>
      <c r="G74" s="30">
        <v>71</v>
      </c>
      <c r="H74" s="31" t="s">
        <v>308</v>
      </c>
      <c r="I74" s="31" t="s">
        <v>309</v>
      </c>
      <c r="J74" s="31">
        <v>2</v>
      </c>
      <c r="K74" s="31">
        <f t="shared" si="11"/>
        <v>12</v>
      </c>
      <c r="L74" s="31">
        <f t="shared" si="12"/>
        <v>-10</v>
      </c>
      <c r="M74" s="31">
        <f t="shared" si="13"/>
        <v>-20</v>
      </c>
      <c r="N74" s="31" t="s">
        <v>270</v>
      </c>
      <c r="O74" s="35" t="s">
        <v>270</v>
      </c>
      <c r="P74" s="31">
        <v>-10</v>
      </c>
      <c r="Q74" s="31">
        <v>-11</v>
      </c>
      <c r="R74" s="31">
        <v>-12</v>
      </c>
      <c r="S74" s="31">
        <v>-13</v>
      </c>
      <c r="T74" s="31">
        <v>-14</v>
      </c>
      <c r="U74" s="31">
        <v>-15</v>
      </c>
      <c r="V74" s="31">
        <v>-16</v>
      </c>
      <c r="W74" s="31">
        <v>-17</v>
      </c>
      <c r="X74" s="31">
        <v>-18</v>
      </c>
      <c r="Y74" s="31">
        <v>-19</v>
      </c>
      <c r="Z74" s="31">
        <v>-20</v>
      </c>
      <c r="AA74" s="31" t="s">
        <v>270</v>
      </c>
      <c r="AB74" s="31" t="s">
        <v>270</v>
      </c>
      <c r="AC74" s="33">
        <v>4900</v>
      </c>
      <c r="AD74" s="43">
        <v>58800</v>
      </c>
      <c r="AE74" s="31"/>
      <c r="AF74" s="31"/>
      <c r="AG74" s="31">
        <v>80</v>
      </c>
      <c r="AH74" s="31"/>
      <c r="AI74" s="31">
        <f t="shared" si="14"/>
        <v>80</v>
      </c>
      <c r="AJ74" s="31">
        <v>1.5</v>
      </c>
      <c r="AK74" s="31"/>
      <c r="AL74" s="31" t="s">
        <v>310</v>
      </c>
      <c r="AM74" s="31">
        <v>1450</v>
      </c>
      <c r="AN74" s="34">
        <v>1</v>
      </c>
    </row>
    <row r="75" spans="3:40" x14ac:dyDescent="0.2">
      <c r="C75" s="30">
        <v>72</v>
      </c>
      <c r="D75" s="31">
        <v>70</v>
      </c>
      <c r="E75" s="31" t="s">
        <v>466</v>
      </c>
      <c r="F75" s="32" t="str">
        <f t="shared" si="10"/>
        <v>70 - Haute-Saône</v>
      </c>
      <c r="G75" s="30">
        <v>72</v>
      </c>
      <c r="H75" s="31" t="s">
        <v>308</v>
      </c>
      <c r="I75" s="31" t="s">
        <v>328</v>
      </c>
      <c r="J75" s="31">
        <v>2</v>
      </c>
      <c r="K75" s="31">
        <f t="shared" si="11"/>
        <v>12</v>
      </c>
      <c r="L75" s="31">
        <f t="shared" si="12"/>
        <v>-10</v>
      </c>
      <c r="M75" s="31">
        <f t="shared" si="13"/>
        <v>-20</v>
      </c>
      <c r="N75" s="31" t="s">
        <v>270</v>
      </c>
      <c r="O75" s="35" t="s">
        <v>270</v>
      </c>
      <c r="P75" s="31">
        <v>-10</v>
      </c>
      <c r="Q75" s="31">
        <v>-11</v>
      </c>
      <c r="R75" s="31">
        <v>-12</v>
      </c>
      <c r="S75" s="31">
        <v>-13</v>
      </c>
      <c r="T75" s="31">
        <v>-14</v>
      </c>
      <c r="U75" s="31">
        <v>-15</v>
      </c>
      <c r="V75" s="31">
        <v>-16</v>
      </c>
      <c r="W75" s="31">
        <v>-17</v>
      </c>
      <c r="X75" s="31">
        <v>-18</v>
      </c>
      <c r="Y75" s="31">
        <v>-19</v>
      </c>
      <c r="Z75" s="31">
        <v>-20</v>
      </c>
      <c r="AA75" s="31" t="s">
        <v>270</v>
      </c>
      <c r="AB75" s="31" t="s">
        <v>270</v>
      </c>
      <c r="AC75" s="33">
        <v>5300</v>
      </c>
      <c r="AD75" s="43">
        <v>65000</v>
      </c>
      <c r="AE75" s="31"/>
      <c r="AF75" s="31"/>
      <c r="AG75" s="31">
        <v>71</v>
      </c>
      <c r="AH75" s="31"/>
      <c r="AI75" s="31">
        <f t="shared" si="14"/>
        <v>71</v>
      </c>
      <c r="AJ75" s="31">
        <v>1.5</v>
      </c>
      <c r="AK75" s="31"/>
      <c r="AL75" s="31" t="s">
        <v>306</v>
      </c>
      <c r="AM75" s="31">
        <v>1250</v>
      </c>
      <c r="AN75" s="34">
        <v>1</v>
      </c>
    </row>
    <row r="76" spans="3:40" x14ac:dyDescent="0.2">
      <c r="C76" s="30">
        <v>73</v>
      </c>
      <c r="D76" s="31">
        <v>71</v>
      </c>
      <c r="E76" s="31" t="s">
        <v>467</v>
      </c>
      <c r="F76" s="32" t="str">
        <f t="shared" si="10"/>
        <v>71 - Saône-et-Loire</v>
      </c>
      <c r="G76" s="30">
        <v>73</v>
      </c>
      <c r="H76" s="31" t="s">
        <v>308</v>
      </c>
      <c r="I76" s="31" t="s">
        <v>309</v>
      </c>
      <c r="J76" s="31">
        <v>2</v>
      </c>
      <c r="K76" s="31">
        <f t="shared" si="11"/>
        <v>12</v>
      </c>
      <c r="L76" s="31">
        <f t="shared" si="12"/>
        <v>-10</v>
      </c>
      <c r="M76" s="31">
        <f t="shared" si="13"/>
        <v>-20</v>
      </c>
      <c r="N76" s="31" t="s">
        <v>270</v>
      </c>
      <c r="O76" s="35" t="s">
        <v>270</v>
      </c>
      <c r="P76" s="31">
        <v>-10</v>
      </c>
      <c r="Q76" s="31">
        <v>-11</v>
      </c>
      <c r="R76" s="31">
        <v>-12</v>
      </c>
      <c r="S76" s="31">
        <v>-13</v>
      </c>
      <c r="T76" s="31">
        <v>-14</v>
      </c>
      <c r="U76" s="31">
        <v>-15</v>
      </c>
      <c r="V76" s="31">
        <v>-16</v>
      </c>
      <c r="W76" s="31">
        <v>-17</v>
      </c>
      <c r="X76" s="31">
        <v>-18</v>
      </c>
      <c r="Y76" s="31">
        <v>-19</v>
      </c>
      <c r="Z76" s="31">
        <v>-20</v>
      </c>
      <c r="AA76" s="31" t="s">
        <v>270</v>
      </c>
      <c r="AB76" s="31" t="s">
        <v>270</v>
      </c>
      <c r="AC76" s="33">
        <v>5200</v>
      </c>
      <c r="AD76" s="43">
        <v>62400</v>
      </c>
      <c r="AE76" s="31"/>
      <c r="AF76" s="31"/>
      <c r="AG76" s="31">
        <v>74</v>
      </c>
      <c r="AH76" s="31"/>
      <c r="AI76" s="31">
        <f t="shared" si="14"/>
        <v>74</v>
      </c>
      <c r="AJ76" s="31">
        <v>1.5</v>
      </c>
      <c r="AK76" s="31"/>
      <c r="AL76" s="31" t="s">
        <v>310</v>
      </c>
      <c r="AM76" s="31">
        <v>1450</v>
      </c>
      <c r="AN76" s="34">
        <v>1</v>
      </c>
    </row>
    <row r="77" spans="3:40" x14ac:dyDescent="0.2">
      <c r="C77" s="30">
        <v>74</v>
      </c>
      <c r="D77" s="31">
        <v>72</v>
      </c>
      <c r="E77" s="31" t="s">
        <v>468</v>
      </c>
      <c r="F77" s="32" t="str">
        <f t="shared" si="10"/>
        <v>72 - Sarthe</v>
      </c>
      <c r="G77" s="30">
        <v>74</v>
      </c>
      <c r="H77" s="31" t="s">
        <v>315</v>
      </c>
      <c r="I77" s="31" t="s">
        <v>328</v>
      </c>
      <c r="J77" s="31">
        <v>2</v>
      </c>
      <c r="K77" s="31">
        <f t="shared" si="11"/>
        <v>3</v>
      </c>
      <c r="L77" s="31">
        <f t="shared" si="12"/>
        <v>-7</v>
      </c>
      <c r="M77" s="31">
        <f t="shared" si="13"/>
        <v>-8</v>
      </c>
      <c r="N77" s="31" t="s">
        <v>270</v>
      </c>
      <c r="O77" s="35" t="s">
        <v>270</v>
      </c>
      <c r="P77" s="31">
        <v>-7</v>
      </c>
      <c r="Q77" s="31">
        <v>-8</v>
      </c>
      <c r="R77" s="31" t="s">
        <v>270</v>
      </c>
      <c r="S77" s="31" t="s">
        <v>270</v>
      </c>
      <c r="T77" s="31" t="s">
        <v>270</v>
      </c>
      <c r="U77" s="31" t="s">
        <v>270</v>
      </c>
      <c r="V77" s="31" t="s">
        <v>270</v>
      </c>
      <c r="W77" s="31" t="s">
        <v>270</v>
      </c>
      <c r="X77" s="31" t="s">
        <v>270</v>
      </c>
      <c r="Y77" s="31" t="s">
        <v>270</v>
      </c>
      <c r="Z77" s="31" t="s">
        <v>270</v>
      </c>
      <c r="AA77" s="31" t="s">
        <v>270</v>
      </c>
      <c r="AB77" s="31" t="s">
        <v>270</v>
      </c>
      <c r="AC77" s="33">
        <v>5300</v>
      </c>
      <c r="AD77" s="43">
        <v>57000</v>
      </c>
      <c r="AE77" s="31"/>
      <c r="AF77" s="31"/>
      <c r="AG77" s="31">
        <v>82</v>
      </c>
      <c r="AH77" s="31"/>
      <c r="AI77" s="31">
        <f t="shared" si="14"/>
        <v>82</v>
      </c>
      <c r="AJ77" s="31"/>
      <c r="AK77" s="31"/>
      <c r="AL77" s="31" t="s">
        <v>310</v>
      </c>
      <c r="AM77" s="31">
        <v>1450</v>
      </c>
      <c r="AN77" s="34">
        <v>1</v>
      </c>
    </row>
    <row r="78" spans="3:40" x14ac:dyDescent="0.2">
      <c r="C78" s="30">
        <v>75</v>
      </c>
      <c r="D78" s="31">
        <v>73</v>
      </c>
      <c r="E78" s="31" t="s">
        <v>469</v>
      </c>
      <c r="F78" s="32" t="str">
        <f t="shared" si="10"/>
        <v>73 - Savoie</v>
      </c>
      <c r="G78" s="30">
        <v>75</v>
      </c>
      <c r="H78" s="31" t="s">
        <v>308</v>
      </c>
      <c r="I78" s="31" t="s">
        <v>309</v>
      </c>
      <c r="J78" s="31">
        <v>2</v>
      </c>
      <c r="K78" s="31">
        <f t="shared" si="11"/>
        <v>12</v>
      </c>
      <c r="L78" s="31">
        <f t="shared" si="12"/>
        <v>-10</v>
      </c>
      <c r="M78" s="31">
        <f t="shared" si="13"/>
        <v>-20</v>
      </c>
      <c r="N78" s="31" t="s">
        <v>270</v>
      </c>
      <c r="O78" s="35" t="s">
        <v>270</v>
      </c>
      <c r="P78" s="31">
        <v>-10</v>
      </c>
      <c r="Q78" s="31">
        <v>-11</v>
      </c>
      <c r="R78" s="31">
        <v>-12</v>
      </c>
      <c r="S78" s="31">
        <v>-13</v>
      </c>
      <c r="T78" s="31">
        <v>-14</v>
      </c>
      <c r="U78" s="31">
        <v>-15</v>
      </c>
      <c r="V78" s="31">
        <v>-16</v>
      </c>
      <c r="W78" s="31">
        <v>-17</v>
      </c>
      <c r="X78" s="31">
        <v>-18</v>
      </c>
      <c r="Y78" s="31">
        <v>-19</v>
      </c>
      <c r="Z78" s="31">
        <v>-20</v>
      </c>
      <c r="AA78" s="31" t="s">
        <v>270</v>
      </c>
      <c r="AB78" s="31" t="s">
        <v>270</v>
      </c>
      <c r="AC78" s="33">
        <v>4600</v>
      </c>
      <c r="AD78" s="43">
        <v>67100</v>
      </c>
      <c r="AE78" s="31"/>
      <c r="AF78" s="31"/>
      <c r="AG78" s="31">
        <v>100</v>
      </c>
      <c r="AH78" s="31"/>
      <c r="AI78" s="31">
        <f t="shared" si="14"/>
        <v>100</v>
      </c>
      <c r="AJ78" s="31">
        <v>1.5</v>
      </c>
      <c r="AK78" s="31"/>
      <c r="AL78" s="31" t="s">
        <v>310</v>
      </c>
      <c r="AM78" s="31">
        <v>1450</v>
      </c>
      <c r="AN78" s="34">
        <v>1.1000000000000001</v>
      </c>
    </row>
    <row r="79" spans="3:40" x14ac:dyDescent="0.2">
      <c r="C79" s="30">
        <v>76</v>
      </c>
      <c r="D79" s="31">
        <v>74</v>
      </c>
      <c r="E79" s="31" t="s">
        <v>470</v>
      </c>
      <c r="F79" s="32" t="str">
        <f t="shared" si="10"/>
        <v>74 - Haute-Savoie</v>
      </c>
      <c r="G79" s="30">
        <v>76</v>
      </c>
      <c r="H79" s="31" t="s">
        <v>308</v>
      </c>
      <c r="I79" s="31" t="s">
        <v>309</v>
      </c>
      <c r="J79" s="31">
        <v>2</v>
      </c>
      <c r="K79" s="31">
        <f t="shared" si="11"/>
        <v>12</v>
      </c>
      <c r="L79" s="31">
        <f t="shared" si="12"/>
        <v>-10</v>
      </c>
      <c r="M79" s="31">
        <f t="shared" si="13"/>
        <v>-20</v>
      </c>
      <c r="N79" s="31" t="s">
        <v>270</v>
      </c>
      <c r="O79" s="35" t="s">
        <v>270</v>
      </c>
      <c r="P79" s="31">
        <v>-10</v>
      </c>
      <c r="Q79" s="31">
        <v>-11</v>
      </c>
      <c r="R79" s="31">
        <v>-12</v>
      </c>
      <c r="S79" s="31">
        <v>-13</v>
      </c>
      <c r="T79" s="31">
        <v>-14</v>
      </c>
      <c r="U79" s="31">
        <v>-15</v>
      </c>
      <c r="V79" s="31">
        <v>-16</v>
      </c>
      <c r="W79" s="31">
        <v>-17</v>
      </c>
      <c r="X79" s="31">
        <v>-18</v>
      </c>
      <c r="Y79" s="31">
        <v>-19</v>
      </c>
      <c r="Z79" s="31">
        <v>-20</v>
      </c>
      <c r="AA79" s="31" t="s">
        <v>270</v>
      </c>
      <c r="AB79" s="31" t="s">
        <v>270</v>
      </c>
      <c r="AC79" s="33">
        <v>4900</v>
      </c>
      <c r="AD79" s="43">
        <v>64100</v>
      </c>
      <c r="AE79" s="31"/>
      <c r="AF79" s="31"/>
      <c r="AG79" s="31">
        <v>80</v>
      </c>
      <c r="AH79" s="31"/>
      <c r="AI79" s="31">
        <f t="shared" si="14"/>
        <v>80</v>
      </c>
      <c r="AJ79" s="31">
        <v>1.5</v>
      </c>
      <c r="AK79" s="31"/>
      <c r="AL79" s="31" t="s">
        <v>310</v>
      </c>
      <c r="AM79" s="31">
        <v>1450</v>
      </c>
      <c r="AN79" s="34">
        <v>1</v>
      </c>
    </row>
    <row r="80" spans="3:40" x14ac:dyDescent="0.2">
      <c r="C80" s="30">
        <v>77</v>
      </c>
      <c r="D80" s="31">
        <v>75</v>
      </c>
      <c r="E80" s="31" t="s">
        <v>471</v>
      </c>
      <c r="F80" s="32" t="str">
        <f t="shared" si="10"/>
        <v>75 - Paris</v>
      </c>
      <c r="G80" s="30">
        <v>77</v>
      </c>
      <c r="H80" s="31" t="s">
        <v>308</v>
      </c>
      <c r="I80" s="31" t="s">
        <v>328</v>
      </c>
      <c r="J80" s="31">
        <v>2</v>
      </c>
      <c r="K80" s="31">
        <f t="shared" si="11"/>
        <v>2</v>
      </c>
      <c r="L80" s="31">
        <f t="shared" si="12"/>
        <v>-5</v>
      </c>
      <c r="M80" s="31">
        <f t="shared" si="13"/>
        <v>-5</v>
      </c>
      <c r="N80" s="31" t="s">
        <v>270</v>
      </c>
      <c r="O80" s="35" t="s">
        <v>270</v>
      </c>
      <c r="P80" s="31">
        <v>-5</v>
      </c>
      <c r="Q80" s="31" t="s">
        <v>270</v>
      </c>
      <c r="R80" s="31" t="s">
        <v>270</v>
      </c>
      <c r="S80" s="31" t="s">
        <v>270</v>
      </c>
      <c r="T80" s="31" t="s">
        <v>270</v>
      </c>
      <c r="U80" s="31" t="s">
        <v>270</v>
      </c>
      <c r="V80" s="31" t="s">
        <v>270</v>
      </c>
      <c r="W80" s="31" t="s">
        <v>270</v>
      </c>
      <c r="X80" s="31" t="s">
        <v>270</v>
      </c>
      <c r="Y80" s="31" t="s">
        <v>270</v>
      </c>
      <c r="Z80" s="31" t="s">
        <v>270</v>
      </c>
      <c r="AA80" s="31" t="s">
        <v>270</v>
      </c>
      <c r="AB80" s="31" t="s">
        <v>270</v>
      </c>
      <c r="AC80" s="33">
        <v>5100</v>
      </c>
      <c r="AD80" s="43">
        <v>55000</v>
      </c>
      <c r="AE80" s="31"/>
      <c r="AF80" s="31"/>
      <c r="AG80" s="31">
        <v>66</v>
      </c>
      <c r="AH80" s="31"/>
      <c r="AI80" s="31">
        <f t="shared" si="14"/>
        <v>66</v>
      </c>
      <c r="AJ80" s="31"/>
      <c r="AK80" s="31"/>
      <c r="AL80" s="31" t="s">
        <v>306</v>
      </c>
      <c r="AM80" s="31">
        <v>1250</v>
      </c>
      <c r="AN80" s="34">
        <v>1</v>
      </c>
    </row>
    <row r="81" spans="3:40" x14ac:dyDescent="0.2">
      <c r="C81" s="30">
        <v>78</v>
      </c>
      <c r="D81" s="31">
        <v>76</v>
      </c>
      <c r="E81" s="31" t="s">
        <v>472</v>
      </c>
      <c r="F81" s="32" t="str">
        <f t="shared" si="10"/>
        <v>76 - Seine-Maritime</v>
      </c>
      <c r="G81" s="30">
        <v>78</v>
      </c>
      <c r="H81" s="31" t="s">
        <v>308</v>
      </c>
      <c r="I81" s="31" t="s">
        <v>312</v>
      </c>
      <c r="J81" s="31">
        <v>0</v>
      </c>
      <c r="K81" s="31">
        <f t="shared" si="11"/>
        <v>3</v>
      </c>
      <c r="L81" s="31">
        <f t="shared" si="12"/>
        <v>-5</v>
      </c>
      <c r="M81" s="31">
        <f t="shared" si="13"/>
        <v>-8</v>
      </c>
      <c r="N81" s="31">
        <v>-5</v>
      </c>
      <c r="O81" s="35">
        <v>-7</v>
      </c>
      <c r="P81" s="31">
        <v>-7</v>
      </c>
      <c r="Q81" s="31">
        <v>-8</v>
      </c>
      <c r="R81" s="31" t="s">
        <v>270</v>
      </c>
      <c r="S81" s="31" t="s">
        <v>270</v>
      </c>
      <c r="T81" s="31" t="s">
        <v>270</v>
      </c>
      <c r="U81" s="31" t="s">
        <v>270</v>
      </c>
      <c r="V81" s="31" t="s">
        <v>270</v>
      </c>
      <c r="W81" s="31" t="s">
        <v>270</v>
      </c>
      <c r="X81" s="31" t="s">
        <v>270</v>
      </c>
      <c r="Y81" s="31" t="s">
        <v>270</v>
      </c>
      <c r="Z81" s="31" t="s">
        <v>270</v>
      </c>
      <c r="AA81" s="31" t="s">
        <v>270</v>
      </c>
      <c r="AB81" s="31" t="s">
        <v>270</v>
      </c>
      <c r="AC81" s="33">
        <v>5500</v>
      </c>
      <c r="AD81" s="43">
        <v>58000</v>
      </c>
      <c r="AE81" s="31"/>
      <c r="AF81" s="31"/>
      <c r="AG81" s="31">
        <v>76</v>
      </c>
      <c r="AH81" s="31"/>
      <c r="AI81" s="31">
        <f t="shared" si="14"/>
        <v>76</v>
      </c>
      <c r="AJ81" s="31"/>
      <c r="AK81" s="31">
        <v>5</v>
      </c>
      <c r="AL81" s="31" t="s">
        <v>306</v>
      </c>
      <c r="AM81" s="31">
        <v>1250</v>
      </c>
      <c r="AN81" s="34">
        <v>1</v>
      </c>
    </row>
    <row r="82" spans="3:40" x14ac:dyDescent="0.2">
      <c r="C82" s="30">
        <v>79</v>
      </c>
      <c r="D82" s="31">
        <v>77</v>
      </c>
      <c r="E82" s="31" t="s">
        <v>473</v>
      </c>
      <c r="F82" s="32" t="str">
        <f t="shared" si="10"/>
        <v>77 - Seine-et-Marne</v>
      </c>
      <c r="G82" s="30">
        <v>79</v>
      </c>
      <c r="H82" s="31" t="s">
        <v>308</v>
      </c>
      <c r="I82" s="31" t="s">
        <v>328</v>
      </c>
      <c r="J82" s="31">
        <v>2</v>
      </c>
      <c r="K82" s="31">
        <f t="shared" si="11"/>
        <v>3</v>
      </c>
      <c r="L82" s="31">
        <f t="shared" si="12"/>
        <v>-7</v>
      </c>
      <c r="M82" s="31">
        <f t="shared" si="13"/>
        <v>-8</v>
      </c>
      <c r="N82" s="31" t="s">
        <v>270</v>
      </c>
      <c r="O82" s="35" t="s">
        <v>270</v>
      </c>
      <c r="P82" s="31">
        <v>-7</v>
      </c>
      <c r="Q82" s="31">
        <v>-8</v>
      </c>
      <c r="R82" s="31" t="s">
        <v>270</v>
      </c>
      <c r="S82" s="31" t="s">
        <v>270</v>
      </c>
      <c r="T82" s="31" t="s">
        <v>270</v>
      </c>
      <c r="U82" s="31" t="s">
        <v>270</v>
      </c>
      <c r="V82" s="31" t="s">
        <v>270</v>
      </c>
      <c r="W82" s="31" t="s">
        <v>270</v>
      </c>
      <c r="X82" s="31" t="s">
        <v>270</v>
      </c>
      <c r="Y82" s="31" t="s">
        <v>270</v>
      </c>
      <c r="Z82" s="31" t="s">
        <v>270</v>
      </c>
      <c r="AA82" s="31" t="s">
        <v>270</v>
      </c>
      <c r="AB82" s="31" t="s">
        <v>270</v>
      </c>
      <c r="AC82" s="33">
        <v>5500</v>
      </c>
      <c r="AD82" s="43">
        <v>60000</v>
      </c>
      <c r="AE82" s="31"/>
      <c r="AF82" s="31"/>
      <c r="AG82" s="31">
        <v>72</v>
      </c>
      <c r="AH82" s="31"/>
      <c r="AI82" s="31">
        <f t="shared" si="14"/>
        <v>72</v>
      </c>
      <c r="AJ82" s="31"/>
      <c r="AK82" s="31"/>
      <c r="AL82" s="31" t="s">
        <v>306</v>
      </c>
      <c r="AM82" s="31">
        <v>1250</v>
      </c>
      <c r="AN82" s="34">
        <v>1</v>
      </c>
    </row>
    <row r="83" spans="3:40" x14ac:dyDescent="0.2">
      <c r="C83" s="30">
        <v>80</v>
      </c>
      <c r="D83" s="31">
        <v>78</v>
      </c>
      <c r="E83" s="31" t="s">
        <v>474</v>
      </c>
      <c r="F83" s="32" t="str">
        <f t="shared" si="10"/>
        <v>78 - Yvelines</v>
      </c>
      <c r="G83" s="30">
        <v>80</v>
      </c>
      <c r="H83" s="31" t="s">
        <v>308</v>
      </c>
      <c r="I83" s="31" t="s">
        <v>328</v>
      </c>
      <c r="J83" s="31">
        <v>2</v>
      </c>
      <c r="K83" s="31">
        <f t="shared" si="11"/>
        <v>2</v>
      </c>
      <c r="L83" s="31">
        <f t="shared" si="12"/>
        <v>-7</v>
      </c>
      <c r="M83" s="31">
        <f t="shared" si="13"/>
        <v>-7</v>
      </c>
      <c r="N83" s="31" t="s">
        <v>270</v>
      </c>
      <c r="O83" s="35" t="s">
        <v>270</v>
      </c>
      <c r="P83" s="31">
        <v>-7</v>
      </c>
      <c r="Q83" s="31" t="s">
        <v>270</v>
      </c>
      <c r="R83" s="31" t="s">
        <v>270</v>
      </c>
      <c r="S83" s="31" t="s">
        <v>270</v>
      </c>
      <c r="T83" s="31" t="s">
        <v>270</v>
      </c>
      <c r="U83" s="31" t="s">
        <v>270</v>
      </c>
      <c r="V83" s="31" t="s">
        <v>270</v>
      </c>
      <c r="W83" s="31" t="s">
        <v>270</v>
      </c>
      <c r="X83" s="31" t="s">
        <v>270</v>
      </c>
      <c r="Y83" s="31" t="s">
        <v>270</v>
      </c>
      <c r="Z83" s="31" t="s">
        <v>270</v>
      </c>
      <c r="AA83" s="31" t="s">
        <v>270</v>
      </c>
      <c r="AB83" s="31" t="s">
        <v>270</v>
      </c>
      <c r="AC83" s="33">
        <v>5800</v>
      </c>
      <c r="AD83" s="43">
        <v>63100</v>
      </c>
      <c r="AE83" s="31"/>
      <c r="AF83" s="31"/>
      <c r="AG83" s="31">
        <v>72</v>
      </c>
      <c r="AH83" s="31"/>
      <c r="AI83" s="31">
        <f t="shared" si="14"/>
        <v>72</v>
      </c>
      <c r="AJ83" s="31"/>
      <c r="AK83" s="31"/>
      <c r="AL83" s="31" t="s">
        <v>306</v>
      </c>
      <c r="AM83" s="31">
        <v>1250</v>
      </c>
      <c r="AN83" s="34">
        <v>1</v>
      </c>
    </row>
    <row r="84" spans="3:40" x14ac:dyDescent="0.2">
      <c r="C84" s="30">
        <v>81</v>
      </c>
      <c r="D84" s="31">
        <v>79</v>
      </c>
      <c r="E84" s="31" t="s">
        <v>475</v>
      </c>
      <c r="F84" s="32" t="str">
        <f t="shared" si="10"/>
        <v>79 - Deux-Sèvres</v>
      </c>
      <c r="G84" s="30">
        <v>81</v>
      </c>
      <c r="H84" s="31" t="s">
        <v>315</v>
      </c>
      <c r="I84" s="31" t="s">
        <v>328</v>
      </c>
      <c r="J84" s="31">
        <v>2</v>
      </c>
      <c r="K84" s="31">
        <f t="shared" si="11"/>
        <v>3</v>
      </c>
      <c r="L84" s="31">
        <f t="shared" si="12"/>
        <v>-7</v>
      </c>
      <c r="M84" s="31">
        <f t="shared" si="13"/>
        <v>-8</v>
      </c>
      <c r="N84" s="31" t="s">
        <v>270</v>
      </c>
      <c r="O84" s="35" t="s">
        <v>270</v>
      </c>
      <c r="P84" s="31">
        <v>-7</v>
      </c>
      <c r="Q84" s="31">
        <v>-8</v>
      </c>
      <c r="R84" s="31" t="s">
        <v>270</v>
      </c>
      <c r="S84" s="31" t="s">
        <v>270</v>
      </c>
      <c r="T84" s="31" t="s">
        <v>270</v>
      </c>
      <c r="U84" s="31" t="s">
        <v>270</v>
      </c>
      <c r="V84" s="31" t="s">
        <v>270</v>
      </c>
      <c r="W84" s="31" t="s">
        <v>270</v>
      </c>
      <c r="X84" s="31" t="s">
        <v>270</v>
      </c>
      <c r="Y84" s="31" t="s">
        <v>270</v>
      </c>
      <c r="Z84" s="31" t="s">
        <v>270</v>
      </c>
      <c r="AA84" s="31" t="s">
        <v>270</v>
      </c>
      <c r="AB84" s="31" t="s">
        <v>270</v>
      </c>
      <c r="AC84" s="33">
        <v>5300</v>
      </c>
      <c r="AD84" s="43">
        <v>50400</v>
      </c>
      <c r="AE84" s="31"/>
      <c r="AF84" s="31"/>
      <c r="AG84" s="31">
        <v>85</v>
      </c>
      <c r="AH84" s="31"/>
      <c r="AI84" s="31">
        <f t="shared" si="14"/>
        <v>85</v>
      </c>
      <c r="AJ84" s="31"/>
      <c r="AK84" s="31"/>
      <c r="AL84" s="31" t="s">
        <v>310</v>
      </c>
      <c r="AM84" s="31">
        <v>1450</v>
      </c>
      <c r="AN84" s="34">
        <v>1</v>
      </c>
    </row>
    <row r="85" spans="3:40" x14ac:dyDescent="0.2">
      <c r="C85" s="30">
        <v>82</v>
      </c>
      <c r="D85" s="31">
        <v>80</v>
      </c>
      <c r="E85" s="31" t="s">
        <v>476</v>
      </c>
      <c r="F85" s="32" t="str">
        <f t="shared" si="10"/>
        <v>80 - Somme</v>
      </c>
      <c r="G85" s="30">
        <v>82</v>
      </c>
      <c r="H85" s="31" t="s">
        <v>308</v>
      </c>
      <c r="I85" s="31" t="s">
        <v>312</v>
      </c>
      <c r="J85" s="31">
        <v>0</v>
      </c>
      <c r="K85" s="31">
        <f t="shared" si="11"/>
        <v>3</v>
      </c>
      <c r="L85" s="31">
        <f t="shared" si="12"/>
        <v>-7</v>
      </c>
      <c r="M85" s="31">
        <f t="shared" si="13"/>
        <v>-10</v>
      </c>
      <c r="N85" s="31">
        <v>-7</v>
      </c>
      <c r="O85" s="35">
        <v>-8</v>
      </c>
      <c r="P85" s="31">
        <v>-9</v>
      </c>
      <c r="Q85" s="31">
        <v>-10</v>
      </c>
      <c r="R85" s="31" t="s">
        <v>270</v>
      </c>
      <c r="S85" s="31" t="s">
        <v>270</v>
      </c>
      <c r="T85" s="31" t="s">
        <v>270</v>
      </c>
      <c r="U85" s="31" t="s">
        <v>270</v>
      </c>
      <c r="V85" s="31" t="s">
        <v>270</v>
      </c>
      <c r="W85" s="31" t="s">
        <v>270</v>
      </c>
      <c r="X85" s="31" t="s">
        <v>270</v>
      </c>
      <c r="Y85" s="31" t="s">
        <v>270</v>
      </c>
      <c r="Z85" s="31" t="s">
        <v>270</v>
      </c>
      <c r="AA85" s="31" t="s">
        <v>270</v>
      </c>
      <c r="AB85" s="31" t="s">
        <v>270</v>
      </c>
      <c r="AC85" s="33">
        <v>5800</v>
      </c>
      <c r="AD85" s="43">
        <v>62500</v>
      </c>
      <c r="AE85" s="31"/>
      <c r="AF85" s="31"/>
      <c r="AG85" s="31">
        <v>73</v>
      </c>
      <c r="AH85" s="31"/>
      <c r="AI85" s="31">
        <f t="shared" si="14"/>
        <v>73</v>
      </c>
      <c r="AJ85" s="31"/>
      <c r="AK85" s="31">
        <v>5</v>
      </c>
      <c r="AL85" s="31" t="s">
        <v>306</v>
      </c>
      <c r="AM85" s="31">
        <v>1250</v>
      </c>
      <c r="AN85" s="34">
        <v>1</v>
      </c>
    </row>
    <row r="86" spans="3:40" x14ac:dyDescent="0.2">
      <c r="C86" s="30">
        <v>83</v>
      </c>
      <c r="D86" s="31">
        <v>81</v>
      </c>
      <c r="E86" s="31" t="s">
        <v>477</v>
      </c>
      <c r="F86" s="32" t="str">
        <f t="shared" si="10"/>
        <v>81 - Tarn</v>
      </c>
      <c r="G86" s="30">
        <v>83</v>
      </c>
      <c r="H86" s="31" t="s">
        <v>315</v>
      </c>
      <c r="I86" s="31" t="s">
        <v>309</v>
      </c>
      <c r="J86" s="31">
        <v>2</v>
      </c>
      <c r="K86" s="31">
        <f t="shared" si="11"/>
        <v>14</v>
      </c>
      <c r="L86" s="31">
        <f t="shared" si="12"/>
        <v>-5</v>
      </c>
      <c r="M86" s="31">
        <f t="shared" si="13"/>
        <v>-12</v>
      </c>
      <c r="N86" s="31" t="s">
        <v>270</v>
      </c>
      <c r="O86" s="35" t="s">
        <v>270</v>
      </c>
      <c r="P86" s="31">
        <v>-5</v>
      </c>
      <c r="Q86" s="31">
        <v>-6</v>
      </c>
      <c r="R86" s="31">
        <v>-7</v>
      </c>
      <c r="S86" s="31">
        <v>-7</v>
      </c>
      <c r="T86" s="31">
        <v>-8</v>
      </c>
      <c r="U86" s="31">
        <v>-8</v>
      </c>
      <c r="V86" s="31">
        <v>-9</v>
      </c>
      <c r="W86" s="31">
        <v>-9</v>
      </c>
      <c r="X86" s="31">
        <v>-10</v>
      </c>
      <c r="Y86" s="31">
        <v>-10</v>
      </c>
      <c r="Z86" s="31">
        <v>-11</v>
      </c>
      <c r="AA86" s="31">
        <v>-11</v>
      </c>
      <c r="AB86" s="31">
        <v>-12</v>
      </c>
      <c r="AC86" s="33">
        <v>4400</v>
      </c>
      <c r="AD86" s="43">
        <v>40000</v>
      </c>
      <c r="AE86" s="31"/>
      <c r="AF86" s="31"/>
      <c r="AG86" s="31">
        <v>100</v>
      </c>
      <c r="AH86" s="31"/>
      <c r="AI86" s="31">
        <f t="shared" si="14"/>
        <v>100</v>
      </c>
      <c r="AJ86" s="31">
        <v>1.5</v>
      </c>
      <c r="AK86" s="31"/>
      <c r="AL86" s="31" t="s">
        <v>321</v>
      </c>
      <c r="AM86" s="31">
        <v>1800</v>
      </c>
      <c r="AN86" s="34">
        <v>1</v>
      </c>
    </row>
    <row r="87" spans="3:40" x14ac:dyDescent="0.2">
      <c r="C87" s="30">
        <v>84</v>
      </c>
      <c r="D87" s="31">
        <v>82</v>
      </c>
      <c r="E87" s="31" t="s">
        <v>478</v>
      </c>
      <c r="F87" s="32" t="str">
        <f t="shared" si="10"/>
        <v>82 - Tarn-et-Garonne</v>
      </c>
      <c r="G87" s="30">
        <v>84</v>
      </c>
      <c r="H87" s="31" t="s">
        <v>315</v>
      </c>
      <c r="I87" s="31" t="s">
        <v>309</v>
      </c>
      <c r="J87" s="31">
        <v>1</v>
      </c>
      <c r="K87" s="31">
        <f t="shared" si="11"/>
        <v>3</v>
      </c>
      <c r="L87" s="31">
        <f t="shared" si="12"/>
        <v>-5</v>
      </c>
      <c r="M87" s="31">
        <f t="shared" si="13"/>
        <v>-6</v>
      </c>
      <c r="N87" s="31" t="s">
        <v>270</v>
      </c>
      <c r="O87" s="35" t="s">
        <v>270</v>
      </c>
      <c r="P87" s="31">
        <v>-5</v>
      </c>
      <c r="Q87" s="31">
        <v>-6</v>
      </c>
      <c r="R87" s="31" t="s">
        <v>270</v>
      </c>
      <c r="S87" s="31" t="s">
        <v>270</v>
      </c>
      <c r="T87" s="31" t="s">
        <v>270</v>
      </c>
      <c r="U87" s="31" t="s">
        <v>270</v>
      </c>
      <c r="V87" s="31" t="s">
        <v>270</v>
      </c>
      <c r="W87" s="31" t="s">
        <v>270</v>
      </c>
      <c r="X87" s="31" t="s">
        <v>270</v>
      </c>
      <c r="Y87" s="31" t="s">
        <v>270</v>
      </c>
      <c r="Z87" s="31"/>
      <c r="AA87" s="31" t="s">
        <v>270</v>
      </c>
      <c r="AB87" s="31" t="s">
        <v>270</v>
      </c>
      <c r="AC87" s="33">
        <v>4800</v>
      </c>
      <c r="AD87" s="43">
        <v>49200</v>
      </c>
      <c r="AE87" s="31"/>
      <c r="AF87" s="31"/>
      <c r="AG87" s="31">
        <v>90</v>
      </c>
      <c r="AH87" s="31"/>
      <c r="AI87" s="31">
        <f t="shared" si="14"/>
        <v>90</v>
      </c>
      <c r="AJ87" s="31"/>
      <c r="AK87" s="31"/>
      <c r="AL87" s="31" t="s">
        <v>321</v>
      </c>
      <c r="AM87" s="31">
        <v>1800</v>
      </c>
      <c r="AN87" s="34">
        <v>1</v>
      </c>
    </row>
    <row r="88" spans="3:40" x14ac:dyDescent="0.2">
      <c r="C88" s="30">
        <v>85</v>
      </c>
      <c r="D88" s="31">
        <v>83</v>
      </c>
      <c r="E88" s="31" t="s">
        <v>479</v>
      </c>
      <c r="F88" s="32" t="str">
        <f t="shared" si="10"/>
        <v>83 - Var</v>
      </c>
      <c r="G88" s="30">
        <v>85</v>
      </c>
      <c r="H88" s="31" t="s">
        <v>323</v>
      </c>
      <c r="I88" s="31" t="s">
        <v>316</v>
      </c>
      <c r="J88" s="31">
        <v>1</v>
      </c>
      <c r="K88" s="31">
        <f t="shared" si="11"/>
        <v>14</v>
      </c>
      <c r="L88" s="31">
        <f t="shared" si="12"/>
        <v>0</v>
      </c>
      <c r="M88" s="31">
        <f t="shared" si="13"/>
        <v>-12</v>
      </c>
      <c r="N88" s="31">
        <v>0</v>
      </c>
      <c r="O88" s="35">
        <v>-2</v>
      </c>
      <c r="P88" s="31">
        <v>-5</v>
      </c>
      <c r="Q88" s="31">
        <v>-6</v>
      </c>
      <c r="R88" s="31">
        <v>-7</v>
      </c>
      <c r="S88" s="31">
        <v>-7</v>
      </c>
      <c r="T88" s="31">
        <v>-8</v>
      </c>
      <c r="U88" s="31">
        <v>-8</v>
      </c>
      <c r="V88" s="31">
        <v>-9</v>
      </c>
      <c r="W88" s="31">
        <v>-9</v>
      </c>
      <c r="X88" s="31">
        <v>-10</v>
      </c>
      <c r="Y88" s="31">
        <v>-10</v>
      </c>
      <c r="Z88" s="31">
        <v>-11</v>
      </c>
      <c r="AA88" s="31">
        <v>-11</v>
      </c>
      <c r="AB88" s="31">
        <v>-12</v>
      </c>
      <c r="AC88" s="33">
        <v>3900</v>
      </c>
      <c r="AD88" s="43">
        <v>36000</v>
      </c>
      <c r="AE88" s="31"/>
      <c r="AF88" s="31"/>
      <c r="AG88" s="31">
        <v>132</v>
      </c>
      <c r="AH88" s="31"/>
      <c r="AI88" s="31">
        <f t="shared" si="14"/>
        <v>132</v>
      </c>
      <c r="AJ88" s="31">
        <v>1.8</v>
      </c>
      <c r="AK88" s="31">
        <v>5</v>
      </c>
      <c r="AL88" s="31" t="s">
        <v>317</v>
      </c>
      <c r="AM88" s="31">
        <v>2200</v>
      </c>
      <c r="AN88" s="34">
        <v>1.1000000000000001</v>
      </c>
    </row>
    <row r="89" spans="3:40" x14ac:dyDescent="0.2">
      <c r="C89" s="30">
        <v>86</v>
      </c>
      <c r="D89" s="31">
        <v>84</v>
      </c>
      <c r="E89" s="31" t="s">
        <v>480</v>
      </c>
      <c r="F89" s="32" t="str">
        <f t="shared" si="10"/>
        <v>84 - Vaucluse</v>
      </c>
      <c r="G89" s="30">
        <v>86</v>
      </c>
      <c r="H89" s="31" t="s">
        <v>315</v>
      </c>
      <c r="I89" s="31" t="s">
        <v>316</v>
      </c>
      <c r="J89" s="31">
        <v>2</v>
      </c>
      <c r="K89" s="31">
        <f t="shared" si="11"/>
        <v>10</v>
      </c>
      <c r="L89" s="31">
        <f t="shared" si="12"/>
        <v>-6</v>
      </c>
      <c r="M89" s="31">
        <f t="shared" si="13"/>
        <v>-14</v>
      </c>
      <c r="N89" s="31" t="s">
        <v>270</v>
      </c>
      <c r="O89" s="35" t="s">
        <v>270</v>
      </c>
      <c r="P89" s="31">
        <v>-6</v>
      </c>
      <c r="Q89" s="31">
        <v>-7</v>
      </c>
      <c r="R89" s="31">
        <v>-8</v>
      </c>
      <c r="S89" s="31">
        <v>-9</v>
      </c>
      <c r="T89" s="31">
        <v>-10</v>
      </c>
      <c r="U89" s="31">
        <v>-11</v>
      </c>
      <c r="V89" s="31">
        <v>-12</v>
      </c>
      <c r="W89" s="31">
        <v>-13</v>
      </c>
      <c r="X89" s="31">
        <v>-14</v>
      </c>
      <c r="Y89" s="31" t="s">
        <v>270</v>
      </c>
      <c r="Z89" s="31" t="s">
        <v>270</v>
      </c>
      <c r="AA89" s="31" t="s">
        <v>270</v>
      </c>
      <c r="AB89" s="31" t="s">
        <v>270</v>
      </c>
      <c r="AC89" s="33">
        <v>4600</v>
      </c>
      <c r="AD89" s="43">
        <v>44000</v>
      </c>
      <c r="AE89" s="31"/>
      <c r="AF89" s="31"/>
      <c r="AG89" s="31">
        <v>126</v>
      </c>
      <c r="AH89" s="31"/>
      <c r="AI89" s="31">
        <f t="shared" si="14"/>
        <v>126</v>
      </c>
      <c r="AJ89" s="31">
        <v>1.5</v>
      </c>
      <c r="AK89" s="31"/>
      <c r="AL89" s="31" t="s">
        <v>317</v>
      </c>
      <c r="AM89" s="31">
        <v>2200</v>
      </c>
      <c r="AN89" s="34">
        <v>1.1000000000000001</v>
      </c>
    </row>
    <row r="90" spans="3:40" x14ac:dyDescent="0.2">
      <c r="C90" s="30">
        <v>87</v>
      </c>
      <c r="D90" s="31">
        <v>85</v>
      </c>
      <c r="E90" s="31" t="s">
        <v>481</v>
      </c>
      <c r="F90" s="32" t="str">
        <f t="shared" si="10"/>
        <v>85 - Vendée</v>
      </c>
      <c r="G90" s="30">
        <v>87</v>
      </c>
      <c r="H90" s="31" t="s">
        <v>315</v>
      </c>
      <c r="I90" s="31" t="s">
        <v>328</v>
      </c>
      <c r="J90" s="31">
        <v>0</v>
      </c>
      <c r="K90" s="31">
        <f t="shared" si="11"/>
        <v>3</v>
      </c>
      <c r="L90" s="31">
        <f t="shared" si="12"/>
        <v>-2</v>
      </c>
      <c r="M90" s="31">
        <f t="shared" si="13"/>
        <v>-6</v>
      </c>
      <c r="N90" s="31">
        <v>-2</v>
      </c>
      <c r="O90" s="35">
        <v>-4</v>
      </c>
      <c r="P90" s="31">
        <v>-5</v>
      </c>
      <c r="Q90" s="31">
        <v>-6</v>
      </c>
      <c r="R90" s="31" t="s">
        <v>270</v>
      </c>
      <c r="S90" s="31" t="s">
        <v>270</v>
      </c>
      <c r="T90" s="31" t="s">
        <v>270</v>
      </c>
      <c r="U90" s="31" t="s">
        <v>270</v>
      </c>
      <c r="V90" s="31" t="s">
        <v>270</v>
      </c>
      <c r="W90" s="31" t="s">
        <v>270</v>
      </c>
      <c r="X90" s="31" t="s">
        <v>270</v>
      </c>
      <c r="Y90" s="31" t="s">
        <v>270</v>
      </c>
      <c r="Z90" s="31" t="s">
        <v>270</v>
      </c>
      <c r="AA90" s="31" t="s">
        <v>270</v>
      </c>
      <c r="AB90" s="31" t="s">
        <v>270</v>
      </c>
      <c r="AC90" s="33">
        <v>5200</v>
      </c>
      <c r="AD90" s="43">
        <v>50000</v>
      </c>
      <c r="AE90" s="31"/>
      <c r="AF90" s="31"/>
      <c r="AG90" s="31">
        <v>85</v>
      </c>
      <c r="AH90" s="31"/>
      <c r="AI90" s="31">
        <f t="shared" si="14"/>
        <v>85</v>
      </c>
      <c r="AJ90" s="31"/>
      <c r="AK90" s="31">
        <v>5</v>
      </c>
      <c r="AL90" s="31" t="s">
        <v>321</v>
      </c>
      <c r="AM90" s="31">
        <v>1800</v>
      </c>
      <c r="AN90" s="34">
        <v>1</v>
      </c>
    </row>
    <row r="91" spans="3:40" x14ac:dyDescent="0.2">
      <c r="C91" s="30">
        <v>88</v>
      </c>
      <c r="D91" s="31">
        <v>86</v>
      </c>
      <c r="E91" s="31" t="s">
        <v>482</v>
      </c>
      <c r="F91" s="32" t="str">
        <f t="shared" si="10"/>
        <v>86 - Vienne</v>
      </c>
      <c r="G91" s="30">
        <v>88</v>
      </c>
      <c r="H91" s="31" t="s">
        <v>315</v>
      </c>
      <c r="I91" s="31" t="s">
        <v>328</v>
      </c>
      <c r="J91" s="31">
        <v>2</v>
      </c>
      <c r="K91" s="31">
        <f t="shared" si="11"/>
        <v>3</v>
      </c>
      <c r="L91" s="31">
        <f t="shared" si="12"/>
        <v>-7</v>
      </c>
      <c r="M91" s="31">
        <f t="shared" si="13"/>
        <v>-8</v>
      </c>
      <c r="N91" s="31" t="s">
        <v>270</v>
      </c>
      <c r="O91" s="35" t="s">
        <v>270</v>
      </c>
      <c r="P91" s="31">
        <v>-7</v>
      </c>
      <c r="Q91" s="31">
        <v>-8</v>
      </c>
      <c r="R91" s="31" t="s">
        <v>270</v>
      </c>
      <c r="S91" s="31" t="s">
        <v>270</v>
      </c>
      <c r="T91" s="31" t="s">
        <v>270</v>
      </c>
      <c r="U91" s="31" t="s">
        <v>270</v>
      </c>
      <c r="V91" s="31" t="s">
        <v>270</v>
      </c>
      <c r="W91" s="31" t="s">
        <v>270</v>
      </c>
      <c r="X91" s="31" t="s">
        <v>270</v>
      </c>
      <c r="Y91" s="31" t="s">
        <v>270</v>
      </c>
      <c r="Z91" s="31" t="s">
        <v>270</v>
      </c>
      <c r="AA91" s="31" t="s">
        <v>270</v>
      </c>
      <c r="AB91" s="31" t="s">
        <v>270</v>
      </c>
      <c r="AC91" s="33">
        <v>5300</v>
      </c>
      <c r="AD91" s="43">
        <v>56000</v>
      </c>
      <c r="AE91" s="31"/>
      <c r="AF91" s="31"/>
      <c r="AG91" s="31">
        <v>86</v>
      </c>
      <c r="AH91" s="31"/>
      <c r="AI91" s="31">
        <f t="shared" si="14"/>
        <v>86</v>
      </c>
      <c r="AJ91" s="31"/>
      <c r="AK91" s="31"/>
      <c r="AL91" s="31" t="s">
        <v>310</v>
      </c>
      <c r="AM91" s="31">
        <v>1450</v>
      </c>
      <c r="AN91" s="34">
        <v>1</v>
      </c>
    </row>
    <row r="92" spans="3:40" x14ac:dyDescent="0.2">
      <c r="C92" s="30">
        <v>89</v>
      </c>
      <c r="D92" s="31">
        <v>87</v>
      </c>
      <c r="E92" s="31" t="s">
        <v>483</v>
      </c>
      <c r="F92" s="32" t="str">
        <f t="shared" si="10"/>
        <v>87 - Haute-Vienne</v>
      </c>
      <c r="G92" s="30">
        <v>89</v>
      </c>
      <c r="H92" s="31" t="s">
        <v>308</v>
      </c>
      <c r="I92" s="31" t="s">
        <v>309</v>
      </c>
      <c r="J92" s="31">
        <v>2</v>
      </c>
      <c r="K92" s="31">
        <f t="shared" si="11"/>
        <v>13</v>
      </c>
      <c r="L92" s="31">
        <f t="shared" si="12"/>
        <v>-8</v>
      </c>
      <c r="M92" s="31">
        <f t="shared" si="13"/>
        <v>-19</v>
      </c>
      <c r="N92" s="31" t="s">
        <v>270</v>
      </c>
      <c r="O92" s="35" t="s">
        <v>270</v>
      </c>
      <c r="P92" s="31">
        <v>-8</v>
      </c>
      <c r="Q92" s="31">
        <v>-9</v>
      </c>
      <c r="R92" s="31">
        <v>-10</v>
      </c>
      <c r="S92" s="31">
        <v>-11</v>
      </c>
      <c r="T92" s="31">
        <v>-12</v>
      </c>
      <c r="U92" s="31">
        <v>-13</v>
      </c>
      <c r="V92" s="31">
        <v>-14</v>
      </c>
      <c r="W92" s="31">
        <v>-15</v>
      </c>
      <c r="X92" s="31">
        <v>-16</v>
      </c>
      <c r="Y92" s="31">
        <v>-17</v>
      </c>
      <c r="Z92" s="31">
        <v>-18</v>
      </c>
      <c r="AA92" s="31">
        <v>-19</v>
      </c>
      <c r="AB92" s="31" t="s">
        <v>270</v>
      </c>
      <c r="AC92" s="33">
        <v>5200</v>
      </c>
      <c r="AD92" s="43">
        <v>60400</v>
      </c>
      <c r="AE92" s="31"/>
      <c r="AF92" s="31"/>
      <c r="AG92" s="31">
        <v>86</v>
      </c>
      <c r="AH92" s="31"/>
      <c r="AI92" s="31">
        <f t="shared" si="14"/>
        <v>86</v>
      </c>
      <c r="AJ92" s="31">
        <v>1.5</v>
      </c>
      <c r="AK92" s="31"/>
      <c r="AL92" s="31" t="s">
        <v>310</v>
      </c>
      <c r="AM92" s="31">
        <v>1450</v>
      </c>
      <c r="AN92" s="34">
        <v>1.1000000000000001</v>
      </c>
    </row>
    <row r="93" spans="3:40" x14ac:dyDescent="0.2">
      <c r="C93" s="30">
        <v>90</v>
      </c>
      <c r="D93" s="31">
        <v>88</v>
      </c>
      <c r="E93" s="31" t="s">
        <v>484</v>
      </c>
      <c r="F93" s="32" t="str">
        <f t="shared" si="10"/>
        <v>88 - Vosges</v>
      </c>
      <c r="G93" s="30">
        <v>90</v>
      </c>
      <c r="H93" s="31" t="s">
        <v>308</v>
      </c>
      <c r="I93" s="31" t="s">
        <v>328</v>
      </c>
      <c r="J93" s="31">
        <v>2</v>
      </c>
      <c r="K93" s="31">
        <f t="shared" si="11"/>
        <v>8</v>
      </c>
      <c r="L93" s="31">
        <f t="shared" si="12"/>
        <v>-15</v>
      </c>
      <c r="M93" s="31">
        <f t="shared" si="13"/>
        <v>-20</v>
      </c>
      <c r="N93" s="31" t="s">
        <v>270</v>
      </c>
      <c r="O93" s="35" t="s">
        <v>270</v>
      </c>
      <c r="P93" s="31">
        <v>-15</v>
      </c>
      <c r="Q93" s="31">
        <v>-15</v>
      </c>
      <c r="R93" s="31">
        <v>-16</v>
      </c>
      <c r="S93" s="31">
        <v>-17</v>
      </c>
      <c r="T93" s="31">
        <v>-18</v>
      </c>
      <c r="U93" s="31">
        <v>-19</v>
      </c>
      <c r="V93" s="31">
        <v>-20</v>
      </c>
      <c r="W93" s="31" t="s">
        <v>270</v>
      </c>
      <c r="X93" s="31" t="s">
        <v>270</v>
      </c>
      <c r="Y93" s="31" t="s">
        <v>270</v>
      </c>
      <c r="Z93" s="31" t="s">
        <v>270</v>
      </c>
      <c r="AA93" s="31" t="s">
        <v>270</v>
      </c>
      <c r="AB93" s="31" t="s">
        <v>270</v>
      </c>
      <c r="AC93" s="33">
        <v>5300</v>
      </c>
      <c r="AD93" s="43">
        <v>65000</v>
      </c>
      <c r="AE93" s="31"/>
      <c r="AF93" s="31"/>
      <c r="AG93" s="31">
        <v>71</v>
      </c>
      <c r="AH93" s="31"/>
      <c r="AI93" s="31">
        <f t="shared" si="14"/>
        <v>71</v>
      </c>
      <c r="AJ93" s="31">
        <v>1.5</v>
      </c>
      <c r="AK93" s="31"/>
      <c r="AL93" s="31" t="s">
        <v>306</v>
      </c>
      <c r="AM93" s="31">
        <v>1250</v>
      </c>
      <c r="AN93" s="34">
        <v>1</v>
      </c>
    </row>
    <row r="94" spans="3:40" x14ac:dyDescent="0.2">
      <c r="C94" s="30">
        <v>91</v>
      </c>
      <c r="D94" s="31">
        <v>89</v>
      </c>
      <c r="E94" s="31" t="s">
        <v>485</v>
      </c>
      <c r="F94" s="32" t="str">
        <f t="shared" si="10"/>
        <v>89 - Yonne</v>
      </c>
      <c r="G94" s="30">
        <v>91</v>
      </c>
      <c r="H94" s="31" t="s">
        <v>308</v>
      </c>
      <c r="I94" s="31" t="s">
        <v>328</v>
      </c>
      <c r="J94" s="31">
        <v>2</v>
      </c>
      <c r="K94" s="31">
        <f t="shared" si="11"/>
        <v>6</v>
      </c>
      <c r="L94" s="31">
        <f t="shared" si="12"/>
        <v>-10</v>
      </c>
      <c r="M94" s="31">
        <f t="shared" si="13"/>
        <v>-14</v>
      </c>
      <c r="N94" s="31" t="s">
        <v>270</v>
      </c>
      <c r="O94" s="35" t="s">
        <v>270</v>
      </c>
      <c r="P94" s="31">
        <v>-10</v>
      </c>
      <c r="Q94" s="31">
        <v>-11</v>
      </c>
      <c r="R94" s="31">
        <v>-12</v>
      </c>
      <c r="S94" s="31">
        <v>-13</v>
      </c>
      <c r="T94" s="31">
        <v>-14</v>
      </c>
      <c r="U94" s="31" t="s">
        <v>270</v>
      </c>
      <c r="V94" s="31" t="s">
        <v>270</v>
      </c>
      <c r="W94" s="31" t="s">
        <v>270</v>
      </c>
      <c r="X94" s="31" t="s">
        <v>270</v>
      </c>
      <c r="Y94" s="31" t="s">
        <v>270</v>
      </c>
      <c r="Z94" s="31" t="s">
        <v>270</v>
      </c>
      <c r="AA94" s="31" t="s">
        <v>270</v>
      </c>
      <c r="AB94" s="31" t="s">
        <v>270</v>
      </c>
      <c r="AC94" s="33">
        <v>5400</v>
      </c>
      <c r="AD94" s="43">
        <v>60700</v>
      </c>
      <c r="AE94" s="31"/>
      <c r="AF94" s="31"/>
      <c r="AG94" s="31">
        <v>76</v>
      </c>
      <c r="AH94" s="31"/>
      <c r="AI94" s="31">
        <f t="shared" si="14"/>
        <v>76</v>
      </c>
      <c r="AJ94" s="31"/>
      <c r="AK94" s="31"/>
      <c r="AL94" s="31" t="s">
        <v>310</v>
      </c>
      <c r="AM94" s="31">
        <v>1450</v>
      </c>
      <c r="AN94" s="34">
        <v>1</v>
      </c>
    </row>
    <row r="95" spans="3:40" x14ac:dyDescent="0.2">
      <c r="C95" s="30">
        <v>92</v>
      </c>
      <c r="D95" s="31">
        <v>90</v>
      </c>
      <c r="E95" s="31" t="s">
        <v>486</v>
      </c>
      <c r="F95" s="32" t="str">
        <f t="shared" si="10"/>
        <v>90 - Territoire-de-Belfort</v>
      </c>
      <c r="G95" s="30">
        <v>92</v>
      </c>
      <c r="H95" s="31" t="s">
        <v>308</v>
      </c>
      <c r="I95" s="31" t="s">
        <v>328</v>
      </c>
      <c r="J95" s="31">
        <v>2</v>
      </c>
      <c r="K95" s="31">
        <f t="shared" si="11"/>
        <v>8</v>
      </c>
      <c r="L95" s="31">
        <f t="shared" si="12"/>
        <v>-15</v>
      </c>
      <c r="M95" s="31">
        <f t="shared" si="13"/>
        <v>-20</v>
      </c>
      <c r="N95" s="31" t="s">
        <v>270</v>
      </c>
      <c r="O95" s="35" t="s">
        <v>270</v>
      </c>
      <c r="P95" s="31">
        <v>-15</v>
      </c>
      <c r="Q95" s="31">
        <v>-15</v>
      </c>
      <c r="R95" s="31">
        <v>-16</v>
      </c>
      <c r="S95" s="31">
        <v>-17</v>
      </c>
      <c r="T95" s="31">
        <v>-18</v>
      </c>
      <c r="U95" s="31">
        <v>-19</v>
      </c>
      <c r="V95" s="31">
        <v>-20</v>
      </c>
      <c r="W95" s="31" t="s">
        <v>270</v>
      </c>
      <c r="X95" s="31" t="s">
        <v>270</v>
      </c>
      <c r="Y95" s="31" t="s">
        <v>270</v>
      </c>
      <c r="Z95" s="31" t="s">
        <v>270</v>
      </c>
      <c r="AA95" s="31" t="s">
        <v>270</v>
      </c>
      <c r="AB95" s="31" t="s">
        <v>270</v>
      </c>
      <c r="AC95" s="33">
        <v>5300</v>
      </c>
      <c r="AD95" s="43">
        <v>67000</v>
      </c>
      <c r="AE95" s="31"/>
      <c r="AF95" s="31"/>
      <c r="AG95" s="31">
        <v>70</v>
      </c>
      <c r="AH95" s="31"/>
      <c r="AI95" s="31">
        <f t="shared" si="14"/>
        <v>70</v>
      </c>
      <c r="AJ95" s="31">
        <v>1.5</v>
      </c>
      <c r="AK95" s="31"/>
      <c r="AL95" s="31" t="s">
        <v>306</v>
      </c>
      <c r="AM95" s="31">
        <v>1250</v>
      </c>
      <c r="AN95" s="34">
        <v>1</v>
      </c>
    </row>
    <row r="96" spans="3:40" x14ac:dyDescent="0.2">
      <c r="C96" s="30">
        <v>93</v>
      </c>
      <c r="D96" s="31">
        <v>91</v>
      </c>
      <c r="E96" s="31" t="s">
        <v>487</v>
      </c>
      <c r="F96" s="32" t="str">
        <f t="shared" si="10"/>
        <v>91 - Essone</v>
      </c>
      <c r="G96" s="30">
        <v>93</v>
      </c>
      <c r="H96" s="31" t="s">
        <v>308</v>
      </c>
      <c r="I96" s="31" t="s">
        <v>328</v>
      </c>
      <c r="J96" s="31">
        <v>2</v>
      </c>
      <c r="K96" s="31">
        <f t="shared" si="11"/>
        <v>2</v>
      </c>
      <c r="L96" s="31">
        <f t="shared" si="12"/>
        <v>-7</v>
      </c>
      <c r="M96" s="31">
        <f t="shared" si="13"/>
        <v>-7</v>
      </c>
      <c r="N96" s="31" t="s">
        <v>270</v>
      </c>
      <c r="O96" s="35" t="s">
        <v>270</v>
      </c>
      <c r="P96" s="31">
        <v>-7</v>
      </c>
      <c r="Q96" s="31" t="s">
        <v>270</v>
      </c>
      <c r="R96" s="31" t="s">
        <v>270</v>
      </c>
      <c r="S96" s="31" t="s">
        <v>270</v>
      </c>
      <c r="T96" s="31" t="s">
        <v>270</v>
      </c>
      <c r="U96" s="31" t="s">
        <v>270</v>
      </c>
      <c r="V96" s="31" t="s">
        <v>270</v>
      </c>
      <c r="W96" s="31" t="s">
        <v>270</v>
      </c>
      <c r="X96" s="31" t="s">
        <v>270</v>
      </c>
      <c r="Y96" s="31" t="s">
        <v>270</v>
      </c>
      <c r="Z96" s="31" t="s">
        <v>270</v>
      </c>
      <c r="AA96" s="31" t="s">
        <v>270</v>
      </c>
      <c r="AB96" s="31" t="s">
        <v>270</v>
      </c>
      <c r="AC96" s="33">
        <v>5500</v>
      </c>
      <c r="AD96" s="43">
        <v>61000</v>
      </c>
      <c r="AE96" s="31"/>
      <c r="AF96" s="31"/>
      <c r="AG96" s="31">
        <v>72</v>
      </c>
      <c r="AH96" s="31"/>
      <c r="AI96" s="31">
        <f t="shared" si="14"/>
        <v>72</v>
      </c>
      <c r="AJ96" s="31"/>
      <c r="AK96" s="31"/>
      <c r="AL96" s="31" t="s">
        <v>306</v>
      </c>
      <c r="AM96" s="31">
        <v>1250</v>
      </c>
      <c r="AN96" s="34">
        <v>1</v>
      </c>
    </row>
    <row r="97" spans="3:61" x14ac:dyDescent="0.2">
      <c r="C97" s="30">
        <v>94</v>
      </c>
      <c r="D97" s="31">
        <v>92</v>
      </c>
      <c r="E97" s="31" t="s">
        <v>488</v>
      </c>
      <c r="F97" s="32" t="str">
        <f t="shared" si="10"/>
        <v>92 - Hauts-de-Seine</v>
      </c>
      <c r="G97" s="30">
        <v>94</v>
      </c>
      <c r="H97" s="31" t="s">
        <v>308</v>
      </c>
      <c r="I97" s="31" t="s">
        <v>328</v>
      </c>
      <c r="J97" s="31">
        <v>2</v>
      </c>
      <c r="K97" s="31">
        <f t="shared" si="11"/>
        <v>2</v>
      </c>
      <c r="L97" s="31">
        <f t="shared" si="12"/>
        <v>-7</v>
      </c>
      <c r="M97" s="31">
        <f t="shared" si="13"/>
        <v>-7</v>
      </c>
      <c r="N97" s="31" t="s">
        <v>270</v>
      </c>
      <c r="O97" s="35" t="s">
        <v>270</v>
      </c>
      <c r="P97" s="31">
        <v>-7</v>
      </c>
      <c r="Q97" s="31" t="s">
        <v>270</v>
      </c>
      <c r="R97" s="31" t="s">
        <v>270</v>
      </c>
      <c r="S97" s="31" t="s">
        <v>270</v>
      </c>
      <c r="T97" s="31" t="s">
        <v>270</v>
      </c>
      <c r="U97" s="31" t="s">
        <v>270</v>
      </c>
      <c r="V97" s="31" t="s">
        <v>270</v>
      </c>
      <c r="W97" s="31" t="s">
        <v>270</v>
      </c>
      <c r="X97" s="31" t="s">
        <v>270</v>
      </c>
      <c r="Y97" s="31" t="s">
        <v>270</v>
      </c>
      <c r="Z97" s="31" t="s">
        <v>270</v>
      </c>
      <c r="AA97" s="31" t="s">
        <v>270</v>
      </c>
      <c r="AB97" s="31" t="s">
        <v>270</v>
      </c>
      <c r="AC97" s="33">
        <v>5300</v>
      </c>
      <c r="AD97" s="43">
        <v>58000</v>
      </c>
      <c r="AE97" s="31"/>
      <c r="AF97" s="31"/>
      <c r="AG97" s="31">
        <v>66</v>
      </c>
      <c r="AH97" s="31"/>
      <c r="AI97" s="31">
        <f t="shared" si="14"/>
        <v>66</v>
      </c>
      <c r="AJ97" s="31"/>
      <c r="AK97" s="31"/>
      <c r="AL97" s="31" t="s">
        <v>306</v>
      </c>
      <c r="AM97" s="31">
        <v>1250</v>
      </c>
      <c r="AN97" s="34">
        <v>1</v>
      </c>
    </row>
    <row r="98" spans="3:61" x14ac:dyDescent="0.2">
      <c r="C98" s="30">
        <v>95</v>
      </c>
      <c r="D98" s="31">
        <v>93</v>
      </c>
      <c r="E98" s="31" t="s">
        <v>489</v>
      </c>
      <c r="F98" s="32" t="str">
        <f t="shared" si="10"/>
        <v>93 - Seine-Saint-Denis</v>
      </c>
      <c r="G98" s="30">
        <v>95</v>
      </c>
      <c r="H98" s="31" t="s">
        <v>308</v>
      </c>
      <c r="I98" s="31" t="s">
        <v>328</v>
      </c>
      <c r="J98" s="31">
        <v>2</v>
      </c>
      <c r="K98" s="31">
        <f t="shared" si="11"/>
        <v>2</v>
      </c>
      <c r="L98" s="31">
        <f t="shared" si="12"/>
        <v>-7</v>
      </c>
      <c r="M98" s="31">
        <f t="shared" si="13"/>
        <v>-7</v>
      </c>
      <c r="N98" s="31" t="s">
        <v>270</v>
      </c>
      <c r="O98" s="35" t="s">
        <v>270</v>
      </c>
      <c r="P98" s="31">
        <v>-7</v>
      </c>
      <c r="Q98" s="31" t="s">
        <v>270</v>
      </c>
      <c r="R98" s="31" t="s">
        <v>270</v>
      </c>
      <c r="S98" s="31" t="s">
        <v>270</v>
      </c>
      <c r="T98" s="31" t="s">
        <v>270</v>
      </c>
      <c r="U98" s="31" t="s">
        <v>270</v>
      </c>
      <c r="V98" s="31" t="s">
        <v>270</v>
      </c>
      <c r="W98" s="31" t="s">
        <v>270</v>
      </c>
      <c r="X98" s="31" t="s">
        <v>270</v>
      </c>
      <c r="Y98" s="31" t="s">
        <v>270</v>
      </c>
      <c r="Z98" s="31" t="s">
        <v>270</v>
      </c>
      <c r="AA98" s="31" t="s">
        <v>270</v>
      </c>
      <c r="AB98" s="31" t="s">
        <v>270</v>
      </c>
      <c r="AC98" s="33">
        <v>5300</v>
      </c>
      <c r="AD98" s="43">
        <v>58000</v>
      </c>
      <c r="AE98" s="31"/>
      <c r="AF98" s="31"/>
      <c r="AG98" s="31">
        <v>66</v>
      </c>
      <c r="AH98" s="31"/>
      <c r="AI98" s="31">
        <f t="shared" si="14"/>
        <v>66</v>
      </c>
      <c r="AJ98" s="31"/>
      <c r="AK98" s="31"/>
      <c r="AL98" s="31" t="s">
        <v>306</v>
      </c>
      <c r="AM98" s="31">
        <v>1250</v>
      </c>
      <c r="AN98" s="34">
        <v>1</v>
      </c>
    </row>
    <row r="99" spans="3:61" x14ac:dyDescent="0.2">
      <c r="C99" s="30">
        <v>96</v>
      </c>
      <c r="D99" s="31">
        <v>94</v>
      </c>
      <c r="E99" s="31" t="s">
        <v>490</v>
      </c>
      <c r="F99" s="32" t="str">
        <f t="shared" si="10"/>
        <v>94 - Val-de-Marne</v>
      </c>
      <c r="G99" s="30">
        <v>96</v>
      </c>
      <c r="H99" s="31" t="s">
        <v>308</v>
      </c>
      <c r="I99" s="31" t="s">
        <v>328</v>
      </c>
      <c r="J99" s="31">
        <v>2</v>
      </c>
      <c r="K99" s="31">
        <f t="shared" si="11"/>
        <v>2</v>
      </c>
      <c r="L99" s="31">
        <f t="shared" si="12"/>
        <v>-7</v>
      </c>
      <c r="M99" s="31">
        <f t="shared" si="13"/>
        <v>-7</v>
      </c>
      <c r="N99" s="31" t="s">
        <v>270</v>
      </c>
      <c r="O99" s="35" t="s">
        <v>270</v>
      </c>
      <c r="P99" s="31">
        <v>-7</v>
      </c>
      <c r="Q99" s="31" t="s">
        <v>270</v>
      </c>
      <c r="R99" s="31" t="s">
        <v>270</v>
      </c>
      <c r="S99" s="31" t="s">
        <v>270</v>
      </c>
      <c r="T99" s="31" t="s">
        <v>270</v>
      </c>
      <c r="U99" s="31" t="s">
        <v>270</v>
      </c>
      <c r="V99" s="31" t="s">
        <v>270</v>
      </c>
      <c r="W99" s="31" t="s">
        <v>270</v>
      </c>
      <c r="X99" s="31" t="s">
        <v>270</v>
      </c>
      <c r="Y99" s="31" t="s">
        <v>270</v>
      </c>
      <c r="Z99" s="31" t="s">
        <v>270</v>
      </c>
      <c r="AA99" s="31" t="s">
        <v>270</v>
      </c>
      <c r="AB99" s="31" t="s">
        <v>270</v>
      </c>
      <c r="AC99" s="33">
        <v>5300</v>
      </c>
      <c r="AD99" s="43">
        <v>58000</v>
      </c>
      <c r="AE99" s="31"/>
      <c r="AF99" s="31"/>
      <c r="AG99" s="31">
        <v>66</v>
      </c>
      <c r="AH99" s="31"/>
      <c r="AI99" s="31">
        <f t="shared" si="14"/>
        <v>66</v>
      </c>
      <c r="AJ99" s="31"/>
      <c r="AK99" s="31"/>
      <c r="AL99" s="31" t="s">
        <v>306</v>
      </c>
      <c r="AM99" s="31">
        <v>1250</v>
      </c>
      <c r="AN99" s="34">
        <v>1</v>
      </c>
    </row>
    <row r="100" spans="3:61" x14ac:dyDescent="0.2">
      <c r="C100" s="30">
        <v>97</v>
      </c>
      <c r="D100" s="31">
        <v>95</v>
      </c>
      <c r="E100" s="31" t="s">
        <v>491</v>
      </c>
      <c r="F100" s="32" t="str">
        <f t="shared" si="10"/>
        <v>95 - Val-d'Oise</v>
      </c>
      <c r="G100" s="30">
        <v>97</v>
      </c>
      <c r="H100" s="31" t="s">
        <v>308</v>
      </c>
      <c r="I100" s="31" t="s">
        <v>328</v>
      </c>
      <c r="J100" s="31">
        <v>2</v>
      </c>
      <c r="K100" s="31">
        <f t="shared" si="11"/>
        <v>2</v>
      </c>
      <c r="L100" s="31">
        <f t="shared" si="12"/>
        <v>-7</v>
      </c>
      <c r="M100" s="31">
        <f t="shared" si="13"/>
        <v>-7</v>
      </c>
      <c r="N100" s="31" t="s">
        <v>270</v>
      </c>
      <c r="O100" s="35" t="s">
        <v>270</v>
      </c>
      <c r="P100" s="31">
        <v>-7</v>
      </c>
      <c r="Q100" s="31" t="s">
        <v>270</v>
      </c>
      <c r="R100" s="31" t="s">
        <v>270</v>
      </c>
      <c r="S100" s="31" t="s">
        <v>270</v>
      </c>
      <c r="T100" s="31" t="s">
        <v>270</v>
      </c>
      <c r="U100" s="31" t="s">
        <v>270</v>
      </c>
      <c r="V100" s="31" t="s">
        <v>270</v>
      </c>
      <c r="W100" s="31" t="s">
        <v>270</v>
      </c>
      <c r="X100" s="31" t="s">
        <v>270</v>
      </c>
      <c r="Y100" s="31" t="s">
        <v>270</v>
      </c>
      <c r="Z100" s="31" t="s">
        <v>270</v>
      </c>
      <c r="AA100" s="31" t="s">
        <v>270</v>
      </c>
      <c r="AB100" s="31" t="s">
        <v>270</v>
      </c>
      <c r="AC100" s="33">
        <v>5500</v>
      </c>
      <c r="AD100" s="43">
        <v>61000</v>
      </c>
      <c r="AE100" s="31"/>
      <c r="AF100" s="31"/>
      <c r="AG100" s="31">
        <v>72</v>
      </c>
      <c r="AH100" s="31"/>
      <c r="AI100" s="31">
        <f t="shared" si="14"/>
        <v>72</v>
      </c>
      <c r="AJ100" s="31"/>
      <c r="AK100" s="31"/>
      <c r="AL100" s="31" t="s">
        <v>306</v>
      </c>
      <c r="AM100" s="31">
        <v>1250</v>
      </c>
      <c r="AN100" s="34">
        <v>1</v>
      </c>
    </row>
    <row r="109" spans="3:61" x14ac:dyDescent="0.2">
      <c r="C109" s="144">
        <v>1</v>
      </c>
      <c r="D109" s="144">
        <v>2</v>
      </c>
      <c r="E109" s="144">
        <v>3</v>
      </c>
      <c r="F109" s="144">
        <v>4</v>
      </c>
      <c r="G109" s="144">
        <v>5</v>
      </c>
      <c r="H109" s="144">
        <v>6</v>
      </c>
      <c r="I109" s="144">
        <v>7</v>
      </c>
      <c r="J109" s="144">
        <v>8</v>
      </c>
      <c r="K109" s="144">
        <v>9</v>
      </c>
      <c r="L109" s="144">
        <v>10</v>
      </c>
      <c r="M109" s="144">
        <v>11</v>
      </c>
      <c r="N109" s="144">
        <v>12</v>
      </c>
      <c r="O109" s="144">
        <v>13</v>
      </c>
      <c r="P109" s="144">
        <v>14</v>
      </c>
      <c r="Q109" s="144">
        <v>15</v>
      </c>
      <c r="R109" s="144">
        <v>16</v>
      </c>
      <c r="S109" s="144">
        <v>17</v>
      </c>
      <c r="T109" s="144">
        <v>18</v>
      </c>
      <c r="U109" s="144">
        <v>19</v>
      </c>
      <c r="V109" s="144">
        <v>20</v>
      </c>
      <c r="W109" s="144">
        <v>21</v>
      </c>
      <c r="X109" s="144">
        <v>22</v>
      </c>
      <c r="Y109" s="144">
        <v>23</v>
      </c>
      <c r="Z109" s="144">
        <v>24</v>
      </c>
      <c r="AA109" s="144">
        <v>25</v>
      </c>
      <c r="AB109" s="144">
        <v>26</v>
      </c>
      <c r="AC109" s="144">
        <v>27</v>
      </c>
      <c r="AD109" s="144">
        <v>28</v>
      </c>
      <c r="AE109" s="144">
        <v>29</v>
      </c>
      <c r="AF109" s="144">
        <v>30</v>
      </c>
      <c r="AG109" s="144">
        <v>31</v>
      </c>
      <c r="AH109" s="144">
        <v>32</v>
      </c>
      <c r="AI109" s="144">
        <v>33</v>
      </c>
      <c r="AJ109" s="144">
        <v>34</v>
      </c>
      <c r="AK109" s="144">
        <v>35</v>
      </c>
      <c r="AL109" s="144">
        <v>36</v>
      </c>
      <c r="AM109" s="144">
        <v>37</v>
      </c>
      <c r="AN109" s="144">
        <v>38</v>
      </c>
      <c r="AO109" s="144">
        <v>39</v>
      </c>
      <c r="AP109" s="144">
        <v>40</v>
      </c>
      <c r="AQ109" s="144">
        <v>41</v>
      </c>
      <c r="AR109" s="144">
        <v>42</v>
      </c>
      <c r="AS109" s="144">
        <v>43</v>
      </c>
      <c r="AT109" s="144">
        <v>44</v>
      </c>
      <c r="AU109" s="144">
        <v>45</v>
      </c>
      <c r="AV109" s="144">
        <v>46</v>
      </c>
      <c r="AW109" s="144">
        <v>47</v>
      </c>
      <c r="AX109" s="144">
        <v>48</v>
      </c>
      <c r="AY109" s="144">
        <v>49</v>
      </c>
      <c r="AZ109" s="144">
        <v>50</v>
      </c>
      <c r="BA109" s="144">
        <v>51</v>
      </c>
      <c r="BB109" s="144">
        <v>52</v>
      </c>
      <c r="BC109" s="144">
        <v>53</v>
      </c>
      <c r="BD109" s="144">
        <v>54</v>
      </c>
      <c r="BE109" s="144">
        <v>55</v>
      </c>
      <c r="BF109" s="144">
        <v>56</v>
      </c>
      <c r="BG109" s="144">
        <v>57</v>
      </c>
      <c r="BH109" s="144">
        <v>58</v>
      </c>
      <c r="BI109" s="30"/>
    </row>
    <row r="110" spans="3:61" x14ac:dyDescent="0.2">
      <c r="C110" s="144"/>
      <c r="D110" s="145" t="s">
        <v>205</v>
      </c>
      <c r="E110" s="145">
        <v>-20</v>
      </c>
      <c r="F110" s="145">
        <v>-19</v>
      </c>
      <c r="G110" s="145">
        <v>-18</v>
      </c>
      <c r="H110" s="145">
        <v>-17</v>
      </c>
      <c r="I110" s="145">
        <v>-16</v>
      </c>
      <c r="J110" s="145">
        <v>-15</v>
      </c>
      <c r="K110" s="145">
        <v>-14</v>
      </c>
      <c r="L110" s="145">
        <v>-13</v>
      </c>
      <c r="M110" s="145">
        <v>-12</v>
      </c>
      <c r="N110" s="145">
        <v>-11</v>
      </c>
      <c r="O110" s="145">
        <v>-10</v>
      </c>
      <c r="P110" s="145">
        <v>-9</v>
      </c>
      <c r="Q110" s="145">
        <v>-8</v>
      </c>
      <c r="R110" s="145">
        <v>-7</v>
      </c>
      <c r="S110" s="145">
        <v>-6</v>
      </c>
      <c r="T110" s="145">
        <v>-5</v>
      </c>
      <c r="U110" s="145">
        <v>-4</v>
      </c>
      <c r="V110" s="145">
        <v>-3</v>
      </c>
      <c r="W110" s="145">
        <v>-2</v>
      </c>
      <c r="X110" s="145">
        <v>-1</v>
      </c>
      <c r="Y110" s="145">
        <v>0</v>
      </c>
      <c r="Z110" s="145">
        <v>1</v>
      </c>
      <c r="AA110" s="145">
        <v>2</v>
      </c>
      <c r="AB110" s="145">
        <v>3</v>
      </c>
      <c r="AC110" s="145">
        <v>4</v>
      </c>
      <c r="AD110" s="145">
        <v>5</v>
      </c>
      <c r="AE110" s="145">
        <v>6</v>
      </c>
      <c r="AF110" s="145">
        <v>7</v>
      </c>
      <c r="AG110" s="145">
        <v>8</v>
      </c>
      <c r="AH110" s="145">
        <v>9</v>
      </c>
      <c r="AI110" s="145">
        <v>10</v>
      </c>
      <c r="AJ110" s="145">
        <v>11</v>
      </c>
      <c r="AK110" s="145">
        <v>12</v>
      </c>
      <c r="AL110" s="145">
        <v>13</v>
      </c>
      <c r="AM110" s="145">
        <v>14</v>
      </c>
      <c r="AN110" s="145">
        <v>15</v>
      </c>
      <c r="AO110" s="145">
        <v>16</v>
      </c>
      <c r="AP110" s="145">
        <v>17</v>
      </c>
      <c r="AQ110" s="145">
        <v>18</v>
      </c>
      <c r="AR110" s="145">
        <v>19</v>
      </c>
      <c r="AS110" s="145">
        <v>20</v>
      </c>
      <c r="AT110" s="145">
        <v>21</v>
      </c>
      <c r="AU110" s="145">
        <v>22</v>
      </c>
      <c r="AV110" s="145">
        <v>23</v>
      </c>
      <c r="AW110" s="145">
        <v>24</v>
      </c>
      <c r="AX110" s="145">
        <v>25</v>
      </c>
      <c r="AY110" s="145">
        <v>26</v>
      </c>
      <c r="AZ110" s="145">
        <v>27</v>
      </c>
      <c r="BA110" s="145">
        <v>28</v>
      </c>
      <c r="BB110" s="145">
        <v>29</v>
      </c>
      <c r="BC110" s="145">
        <v>30</v>
      </c>
      <c r="BD110" s="145">
        <v>31</v>
      </c>
      <c r="BE110" s="145">
        <v>32</v>
      </c>
      <c r="BF110" s="145">
        <v>33</v>
      </c>
      <c r="BG110" s="145">
        <v>34</v>
      </c>
      <c r="BH110" s="145">
        <v>35</v>
      </c>
      <c r="BI110" s="144" t="s">
        <v>476</v>
      </c>
    </row>
    <row r="111" spans="3:61" x14ac:dyDescent="0.2">
      <c r="C111" s="144" t="s">
        <v>206</v>
      </c>
      <c r="D111" s="145" t="s">
        <v>207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0.15</v>
      </c>
      <c r="Q111" s="30">
        <v>0.4</v>
      </c>
      <c r="R111" s="30">
        <v>0.9</v>
      </c>
      <c r="S111" s="30">
        <v>1.05</v>
      </c>
      <c r="T111" s="30">
        <v>1.65</v>
      </c>
      <c r="U111" s="30">
        <v>3.05</v>
      </c>
      <c r="V111" s="30">
        <v>4.2</v>
      </c>
      <c r="W111" s="30">
        <v>5.35</v>
      </c>
      <c r="X111" s="30">
        <v>6.75</v>
      </c>
      <c r="Y111" s="30">
        <v>8.35</v>
      </c>
      <c r="Z111" s="30">
        <v>8.35</v>
      </c>
      <c r="AA111" s="30">
        <v>9.8000000000000007</v>
      </c>
      <c r="AB111" s="30">
        <v>11.65</v>
      </c>
      <c r="AC111" s="30">
        <v>12.35</v>
      </c>
      <c r="AD111" s="30">
        <v>13.75</v>
      </c>
      <c r="AE111" s="30">
        <v>14.6</v>
      </c>
      <c r="AF111" s="30">
        <v>14.4</v>
      </c>
      <c r="AG111" s="30">
        <v>16.25</v>
      </c>
      <c r="AH111" s="30">
        <v>15.45</v>
      </c>
      <c r="AI111" s="30">
        <v>15.6</v>
      </c>
      <c r="AJ111" s="30">
        <v>16.850000000000001</v>
      </c>
      <c r="AK111" s="30">
        <v>16.7</v>
      </c>
      <c r="AL111" s="30">
        <v>14.5</v>
      </c>
      <c r="AM111" s="30">
        <v>17.25</v>
      </c>
      <c r="AN111" s="30">
        <v>16.5</v>
      </c>
      <c r="AO111" s="30">
        <v>16.899999999999999</v>
      </c>
      <c r="AP111" s="30">
        <v>17.149999999999999</v>
      </c>
      <c r="AQ111" s="30">
        <v>15.45</v>
      </c>
      <c r="AR111" s="30">
        <v>14.8</v>
      </c>
      <c r="AS111" s="30">
        <v>12.65</v>
      </c>
      <c r="AT111" s="30">
        <v>10.8</v>
      </c>
      <c r="AU111" s="30">
        <v>9.1</v>
      </c>
      <c r="AV111" s="30">
        <v>8.1</v>
      </c>
      <c r="AW111" s="30">
        <v>5.7</v>
      </c>
      <c r="AX111" s="30">
        <v>3.8</v>
      </c>
      <c r="AY111" s="30">
        <v>2.2999999999999998</v>
      </c>
      <c r="AZ111" s="30">
        <v>1.35</v>
      </c>
      <c r="BA111" s="30">
        <v>0.65</v>
      </c>
      <c r="BB111" s="30">
        <v>0.5</v>
      </c>
      <c r="BC111" s="30">
        <v>0.05</v>
      </c>
      <c r="BD111" s="30"/>
      <c r="BE111" s="30"/>
      <c r="BF111" s="30"/>
      <c r="BG111" s="30"/>
      <c r="BH111" s="30"/>
      <c r="BI111" s="30">
        <v>365.15</v>
      </c>
    </row>
    <row r="112" spans="3:61" x14ac:dyDescent="0.2">
      <c r="C112" s="144" t="s">
        <v>208</v>
      </c>
      <c r="D112" s="145" t="s">
        <v>209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0.05</v>
      </c>
      <c r="O112" s="30">
        <v>0.05</v>
      </c>
      <c r="P112" s="30">
        <v>0.3</v>
      </c>
      <c r="Q112" s="30">
        <v>0.15</v>
      </c>
      <c r="R112" s="30">
        <v>0.35</v>
      </c>
      <c r="S112" s="30">
        <v>0.7</v>
      </c>
      <c r="T112" s="30">
        <v>1.05</v>
      </c>
      <c r="U112" s="30">
        <v>1.45</v>
      </c>
      <c r="V112" s="30">
        <v>2.75</v>
      </c>
      <c r="W112" s="30">
        <v>4.6500000000000004</v>
      </c>
      <c r="X112" s="30">
        <v>5.95</v>
      </c>
      <c r="Y112" s="30">
        <v>6.9</v>
      </c>
      <c r="Z112" s="30">
        <v>10</v>
      </c>
      <c r="AA112" s="30">
        <v>11.05</v>
      </c>
      <c r="AB112" s="30">
        <v>12.35</v>
      </c>
      <c r="AC112" s="30">
        <v>16.2</v>
      </c>
      <c r="AD112" s="30">
        <v>16.55</v>
      </c>
      <c r="AE112" s="30">
        <v>18.7</v>
      </c>
      <c r="AF112" s="30">
        <v>20.65</v>
      </c>
      <c r="AG112" s="30">
        <v>19.600000000000001</v>
      </c>
      <c r="AH112" s="30">
        <v>17.75</v>
      </c>
      <c r="AI112" s="30">
        <v>19.399999999999999</v>
      </c>
      <c r="AJ112" s="30">
        <v>17.850000000000001</v>
      </c>
      <c r="AK112" s="30">
        <v>18.649999999999999</v>
      </c>
      <c r="AL112" s="30">
        <v>19.8</v>
      </c>
      <c r="AM112" s="30">
        <v>20.7</v>
      </c>
      <c r="AN112" s="30">
        <v>20.350000000000001</v>
      </c>
      <c r="AO112" s="30">
        <v>18.600000000000001</v>
      </c>
      <c r="AP112" s="30">
        <v>17.05</v>
      </c>
      <c r="AQ112" s="30">
        <v>12.95</v>
      </c>
      <c r="AR112" s="30">
        <v>10.15</v>
      </c>
      <c r="AS112" s="30">
        <v>7.4</v>
      </c>
      <c r="AT112" s="30">
        <v>6.05</v>
      </c>
      <c r="AU112" s="30">
        <v>4.2</v>
      </c>
      <c r="AV112" s="30">
        <v>2.4500000000000002</v>
      </c>
      <c r="AW112" s="30">
        <v>1.1499999999999999</v>
      </c>
      <c r="AX112" s="30">
        <v>0.75</v>
      </c>
      <c r="AY112" s="30">
        <v>0.3</v>
      </c>
      <c r="AZ112" s="30">
        <v>0.2</v>
      </c>
      <c r="BA112" s="30">
        <v>0.05</v>
      </c>
      <c r="BB112" s="30"/>
      <c r="BC112" s="30"/>
      <c r="BD112" s="30"/>
      <c r="BE112" s="30"/>
      <c r="BF112" s="30"/>
      <c r="BG112" s="30"/>
      <c r="BH112" s="30"/>
      <c r="BI112" s="30">
        <v>365.25</v>
      </c>
    </row>
    <row r="113" spans="3:61" x14ac:dyDescent="0.2">
      <c r="C113" s="144" t="s">
        <v>210</v>
      </c>
      <c r="D113" s="145" t="s">
        <v>211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0.1</v>
      </c>
      <c r="P113" s="30">
        <v>0.25</v>
      </c>
      <c r="Q113" s="30">
        <v>0.3</v>
      </c>
      <c r="R113" s="30">
        <v>0.6</v>
      </c>
      <c r="S113" s="30">
        <v>0.8</v>
      </c>
      <c r="T113" s="30">
        <v>1</v>
      </c>
      <c r="U113" s="30">
        <v>2</v>
      </c>
      <c r="V113" s="30">
        <v>3.65</v>
      </c>
      <c r="W113" s="30">
        <v>4.1500000000000004</v>
      </c>
      <c r="X113" s="30">
        <v>5.85</v>
      </c>
      <c r="Y113" s="30">
        <v>6.25</v>
      </c>
      <c r="Z113" s="30">
        <v>9.8000000000000007</v>
      </c>
      <c r="AA113" s="30">
        <v>9.1</v>
      </c>
      <c r="AB113" s="30">
        <v>11.4</v>
      </c>
      <c r="AC113" s="30">
        <v>12.65</v>
      </c>
      <c r="AD113" s="30">
        <v>15.1</v>
      </c>
      <c r="AE113" s="30">
        <v>15.6</v>
      </c>
      <c r="AF113" s="30">
        <v>18.5</v>
      </c>
      <c r="AG113" s="30">
        <v>15.35</v>
      </c>
      <c r="AH113" s="30">
        <v>18.600000000000001</v>
      </c>
      <c r="AI113" s="30">
        <v>18.7</v>
      </c>
      <c r="AJ113" s="30">
        <v>17.350000000000001</v>
      </c>
      <c r="AK113" s="30">
        <v>17.45</v>
      </c>
      <c r="AL113" s="30">
        <v>15.8</v>
      </c>
      <c r="AM113" s="30">
        <v>17.5</v>
      </c>
      <c r="AN113" s="30">
        <v>18.2</v>
      </c>
      <c r="AO113" s="30">
        <v>17.75</v>
      </c>
      <c r="AP113" s="30">
        <v>18</v>
      </c>
      <c r="AQ113" s="30">
        <v>16.05</v>
      </c>
      <c r="AR113" s="30">
        <v>12.75</v>
      </c>
      <c r="AS113" s="30">
        <v>12.45</v>
      </c>
      <c r="AT113" s="30">
        <v>10.65</v>
      </c>
      <c r="AU113" s="30">
        <v>8.0500000000000007</v>
      </c>
      <c r="AV113" s="30">
        <v>5.7</v>
      </c>
      <c r="AW113" s="30">
        <v>3.4</v>
      </c>
      <c r="AX113" s="30">
        <v>2</v>
      </c>
      <c r="AY113" s="30">
        <v>1.1000000000000001</v>
      </c>
      <c r="AZ113" s="30">
        <v>0.6</v>
      </c>
      <c r="BA113" s="30">
        <v>0.6</v>
      </c>
      <c r="BB113" s="30">
        <v>0.1</v>
      </c>
      <c r="BC113" s="30"/>
      <c r="BD113" s="30"/>
      <c r="BE113" s="30"/>
      <c r="BF113" s="30"/>
      <c r="BG113" s="30"/>
      <c r="BH113" s="30"/>
      <c r="BI113" s="30">
        <v>365.25</v>
      </c>
    </row>
    <row r="114" spans="3:61" x14ac:dyDescent="0.2">
      <c r="C114" s="144" t="s">
        <v>212</v>
      </c>
      <c r="D114" s="145" t="s">
        <v>213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0.05</v>
      </c>
      <c r="W114" s="30">
        <v>0.1</v>
      </c>
      <c r="X114" s="30">
        <v>0.3</v>
      </c>
      <c r="Y114" s="30">
        <v>0.85</v>
      </c>
      <c r="Z114" s="30">
        <v>2.25</v>
      </c>
      <c r="AA114" s="30">
        <v>3.9</v>
      </c>
      <c r="AB114" s="30">
        <v>5.6</v>
      </c>
      <c r="AC114" s="30">
        <v>7.75</v>
      </c>
      <c r="AD114" s="30">
        <v>11.55</v>
      </c>
      <c r="AE114" s="30">
        <v>12.15</v>
      </c>
      <c r="AF114" s="30">
        <v>15.25</v>
      </c>
      <c r="AG114" s="30">
        <v>15.15</v>
      </c>
      <c r="AH114" s="30">
        <v>17.350000000000001</v>
      </c>
      <c r="AI114" s="30">
        <v>18.899999999999999</v>
      </c>
      <c r="AJ114" s="30">
        <v>18.55</v>
      </c>
      <c r="AK114" s="30">
        <v>16.95</v>
      </c>
      <c r="AL114" s="30">
        <v>16.399999999999999</v>
      </c>
      <c r="AM114" s="30">
        <v>16.95</v>
      </c>
      <c r="AN114" s="30">
        <v>17.350000000000001</v>
      </c>
      <c r="AO114" s="30">
        <v>16.25</v>
      </c>
      <c r="AP114" s="30">
        <v>13.75</v>
      </c>
      <c r="AQ114" s="30">
        <v>14</v>
      </c>
      <c r="AR114" s="30">
        <v>15.3</v>
      </c>
      <c r="AS114" s="30">
        <v>14.8</v>
      </c>
      <c r="AT114" s="30">
        <v>16.2</v>
      </c>
      <c r="AU114" s="30">
        <v>14.65</v>
      </c>
      <c r="AV114" s="30">
        <v>14.85</v>
      </c>
      <c r="AW114" s="30">
        <v>14.05</v>
      </c>
      <c r="AX114" s="30">
        <v>13.6</v>
      </c>
      <c r="AY114" s="30">
        <v>10.1</v>
      </c>
      <c r="AZ114" s="30">
        <v>5.5</v>
      </c>
      <c r="BA114" s="30">
        <v>2.7</v>
      </c>
      <c r="BB114" s="30">
        <v>1.3</v>
      </c>
      <c r="BC114" s="30">
        <v>0.45</v>
      </c>
      <c r="BD114" s="30">
        <v>0.3</v>
      </c>
      <c r="BE114" s="30">
        <v>0.1</v>
      </c>
      <c r="BF114" s="30"/>
      <c r="BG114" s="30"/>
      <c r="BH114" s="30"/>
      <c r="BI114" s="30">
        <v>365.25</v>
      </c>
    </row>
    <row r="115" spans="3:61" x14ac:dyDescent="0.2">
      <c r="C115" s="144" t="s">
        <v>214</v>
      </c>
      <c r="D115" s="145" t="s">
        <v>215</v>
      </c>
      <c r="E115" s="30">
        <v>0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0.05</v>
      </c>
      <c r="P115" s="30">
        <v>0.2</v>
      </c>
      <c r="Q115" s="30">
        <v>0.3</v>
      </c>
      <c r="R115" s="30">
        <v>0.4</v>
      </c>
      <c r="S115" s="30">
        <v>0.45</v>
      </c>
      <c r="T115" s="30">
        <v>1.35</v>
      </c>
      <c r="U115" s="30">
        <v>1.65</v>
      </c>
      <c r="V115" s="30">
        <v>4.0999999999999996</v>
      </c>
      <c r="W115" s="30">
        <v>5.15</v>
      </c>
      <c r="X115" s="30">
        <v>6.2</v>
      </c>
      <c r="Y115" s="30">
        <v>8.75</v>
      </c>
      <c r="Z115" s="30">
        <v>12.15</v>
      </c>
      <c r="AA115" s="30">
        <v>14.2</v>
      </c>
      <c r="AB115" s="30">
        <v>17.75</v>
      </c>
      <c r="AC115" s="30">
        <v>16.899999999999999</v>
      </c>
      <c r="AD115" s="30">
        <v>17.95</v>
      </c>
      <c r="AE115" s="30">
        <v>15.15</v>
      </c>
      <c r="AF115" s="30">
        <v>15.75</v>
      </c>
      <c r="AG115" s="30">
        <v>16.350000000000001</v>
      </c>
      <c r="AH115" s="30">
        <v>14.25</v>
      </c>
      <c r="AI115" s="30">
        <v>14.35</v>
      </c>
      <c r="AJ115" s="30">
        <v>14.7</v>
      </c>
      <c r="AK115" s="30">
        <v>16.55</v>
      </c>
      <c r="AL115" s="30">
        <v>15.95</v>
      </c>
      <c r="AM115" s="30">
        <v>15.7</v>
      </c>
      <c r="AN115" s="30">
        <v>14.8</v>
      </c>
      <c r="AO115" s="30">
        <v>15.7</v>
      </c>
      <c r="AP115" s="30">
        <v>14.7</v>
      </c>
      <c r="AQ115" s="30">
        <v>14.05</v>
      </c>
      <c r="AR115" s="30">
        <v>12.25</v>
      </c>
      <c r="AS115" s="30">
        <v>11.2</v>
      </c>
      <c r="AT115" s="30">
        <v>11.65</v>
      </c>
      <c r="AU115" s="30">
        <v>9.35</v>
      </c>
      <c r="AV115" s="30">
        <v>6.75</v>
      </c>
      <c r="AW115" s="30">
        <v>5.55</v>
      </c>
      <c r="AX115" s="30">
        <v>2.0499999999999998</v>
      </c>
      <c r="AY115" s="30">
        <v>0.6</v>
      </c>
      <c r="AZ115" s="30">
        <v>0.25</v>
      </c>
      <c r="BA115" s="30">
        <v>0.05</v>
      </c>
      <c r="BB115" s="30"/>
      <c r="BC115" s="30"/>
      <c r="BD115" s="30"/>
      <c r="BE115" s="30"/>
      <c r="BF115" s="30"/>
      <c r="BG115" s="30"/>
      <c r="BH115" s="30"/>
      <c r="BI115" s="30">
        <v>365.25</v>
      </c>
    </row>
    <row r="116" spans="3:61" x14ac:dyDescent="0.2">
      <c r="C116" s="144" t="s">
        <v>216</v>
      </c>
      <c r="D116" s="145" t="s">
        <v>217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0.1</v>
      </c>
      <c r="Z116" s="30"/>
      <c r="AA116" s="30">
        <v>0.15</v>
      </c>
      <c r="AB116" s="30">
        <v>0.6</v>
      </c>
      <c r="AC116" s="30">
        <v>1.25</v>
      </c>
      <c r="AD116" s="30">
        <v>2.1</v>
      </c>
      <c r="AE116" s="30">
        <v>5.25</v>
      </c>
      <c r="AF116" s="30">
        <v>8.8000000000000007</v>
      </c>
      <c r="AG116" s="30">
        <v>14.25</v>
      </c>
      <c r="AH116" s="30">
        <v>21.65</v>
      </c>
      <c r="AI116" s="30">
        <v>26.65</v>
      </c>
      <c r="AJ116" s="30">
        <v>26.65</v>
      </c>
      <c r="AK116" s="30">
        <v>26.2</v>
      </c>
      <c r="AL116" s="30">
        <v>22.9</v>
      </c>
      <c r="AM116" s="30">
        <v>14.9</v>
      </c>
      <c r="AN116" s="30">
        <v>14.75</v>
      </c>
      <c r="AO116" s="30">
        <v>16.45</v>
      </c>
      <c r="AP116" s="30">
        <v>17.3</v>
      </c>
      <c r="AQ116" s="30">
        <v>18.3</v>
      </c>
      <c r="AR116" s="30">
        <v>15.5</v>
      </c>
      <c r="AS116" s="30">
        <v>18.2</v>
      </c>
      <c r="AT116" s="30">
        <v>19</v>
      </c>
      <c r="AU116" s="30">
        <v>17.25</v>
      </c>
      <c r="AV116" s="30">
        <v>18.55</v>
      </c>
      <c r="AW116" s="30">
        <v>17.600000000000001</v>
      </c>
      <c r="AX116" s="30">
        <v>10.9</v>
      </c>
      <c r="AY116" s="30">
        <v>5.95</v>
      </c>
      <c r="AZ116" s="30">
        <v>2.9</v>
      </c>
      <c r="BA116" s="30">
        <v>0.7</v>
      </c>
      <c r="BB116" s="30">
        <v>0.2</v>
      </c>
      <c r="BC116" s="30">
        <v>0.2</v>
      </c>
      <c r="BD116" s="30">
        <v>0.05</v>
      </c>
      <c r="BE116" s="30"/>
      <c r="BF116" s="30"/>
      <c r="BG116" s="30"/>
      <c r="BH116" s="30"/>
      <c r="BI116" s="30">
        <v>365.25</v>
      </c>
    </row>
    <row r="117" spans="3:61" x14ac:dyDescent="0.2">
      <c r="C117" s="144" t="s">
        <v>218</v>
      </c>
      <c r="D117" s="145" t="s">
        <v>219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0.15</v>
      </c>
      <c r="T117" s="30">
        <v>0.6</v>
      </c>
      <c r="U117" s="30">
        <v>1.05</v>
      </c>
      <c r="V117" s="30">
        <v>1.6</v>
      </c>
      <c r="W117" s="30">
        <v>2.85</v>
      </c>
      <c r="X117" s="30">
        <v>3.55</v>
      </c>
      <c r="Y117" s="30">
        <v>6.5</v>
      </c>
      <c r="Z117" s="30">
        <v>8.25</v>
      </c>
      <c r="AA117" s="30">
        <v>9.9</v>
      </c>
      <c r="AB117" s="30">
        <v>9.5500000000000007</v>
      </c>
      <c r="AC117" s="30">
        <v>10.75</v>
      </c>
      <c r="AD117" s="30">
        <v>14.9</v>
      </c>
      <c r="AE117" s="30">
        <v>14.4</v>
      </c>
      <c r="AF117" s="30">
        <v>16.350000000000001</v>
      </c>
      <c r="AG117" s="30">
        <v>15.7</v>
      </c>
      <c r="AH117" s="30">
        <v>16.3</v>
      </c>
      <c r="AI117" s="30">
        <v>16.55</v>
      </c>
      <c r="AJ117" s="30">
        <v>16.3</v>
      </c>
      <c r="AK117" s="30">
        <v>14.7</v>
      </c>
      <c r="AL117" s="30">
        <v>15.05</v>
      </c>
      <c r="AM117" s="30">
        <v>15.1</v>
      </c>
      <c r="AN117" s="30">
        <v>16.600000000000001</v>
      </c>
      <c r="AO117" s="30">
        <v>16.05</v>
      </c>
      <c r="AP117" s="30">
        <v>17.399999999999999</v>
      </c>
      <c r="AQ117" s="30">
        <v>16.600000000000001</v>
      </c>
      <c r="AR117" s="30">
        <v>15.85</v>
      </c>
      <c r="AS117" s="30">
        <v>14.45</v>
      </c>
      <c r="AT117" s="30">
        <v>12.6</v>
      </c>
      <c r="AU117" s="30">
        <v>12.35</v>
      </c>
      <c r="AV117" s="30">
        <v>11.2</v>
      </c>
      <c r="AW117" s="30">
        <v>9.1</v>
      </c>
      <c r="AX117" s="30">
        <v>6.65</v>
      </c>
      <c r="AY117" s="30">
        <v>3.85</v>
      </c>
      <c r="AZ117" s="30">
        <v>1.65</v>
      </c>
      <c r="BA117" s="30">
        <v>0.35</v>
      </c>
      <c r="BB117" s="30">
        <v>0.3</v>
      </c>
      <c r="BC117" s="30">
        <v>0.15</v>
      </c>
      <c r="BD117" s="30"/>
      <c r="BE117" s="30"/>
      <c r="BF117" s="30"/>
      <c r="BG117" s="30"/>
      <c r="BH117" s="30"/>
      <c r="BI117" s="30">
        <v>365.25</v>
      </c>
    </row>
    <row r="118" spans="3:61" x14ac:dyDescent="0.2">
      <c r="C118" s="144" t="s">
        <v>220</v>
      </c>
      <c r="D118" s="145" t="s">
        <v>221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0.05</v>
      </c>
      <c r="M118" s="30">
        <v>0</v>
      </c>
      <c r="N118" s="30">
        <v>0.15</v>
      </c>
      <c r="O118" s="30">
        <v>0.25</v>
      </c>
      <c r="P118" s="30">
        <v>0.3</v>
      </c>
      <c r="Q118" s="30">
        <v>0.55000000000000004</v>
      </c>
      <c r="R118" s="30">
        <v>0.8</v>
      </c>
      <c r="S118" s="30">
        <v>1.35</v>
      </c>
      <c r="T118" s="30">
        <v>1.9</v>
      </c>
      <c r="U118" s="30">
        <v>2.6</v>
      </c>
      <c r="V118" s="30">
        <v>4.6500000000000004</v>
      </c>
      <c r="W118" s="30">
        <v>5.75</v>
      </c>
      <c r="X118" s="30">
        <v>7.8</v>
      </c>
      <c r="Y118" s="30">
        <v>8.5500000000000007</v>
      </c>
      <c r="Z118" s="30">
        <v>11.2</v>
      </c>
      <c r="AA118" s="30">
        <v>11.85</v>
      </c>
      <c r="AB118" s="30">
        <v>16.350000000000001</v>
      </c>
      <c r="AC118" s="30">
        <v>16.350000000000001</v>
      </c>
      <c r="AD118" s="30">
        <v>17.850000000000001</v>
      </c>
      <c r="AE118" s="30">
        <v>18.899999999999999</v>
      </c>
      <c r="AF118" s="30">
        <v>18.7</v>
      </c>
      <c r="AG118" s="30">
        <v>18.350000000000001</v>
      </c>
      <c r="AH118" s="30">
        <v>19.55</v>
      </c>
      <c r="AI118" s="30">
        <v>17.55</v>
      </c>
      <c r="AJ118" s="30">
        <v>17.899999999999999</v>
      </c>
      <c r="AK118" s="30">
        <v>17.8</v>
      </c>
      <c r="AL118" s="30">
        <v>20.3</v>
      </c>
      <c r="AM118" s="30">
        <v>20.7</v>
      </c>
      <c r="AN118" s="30">
        <v>18.55</v>
      </c>
      <c r="AO118" s="30">
        <v>16.95</v>
      </c>
      <c r="AP118" s="30">
        <v>13.7</v>
      </c>
      <c r="AQ118" s="30">
        <v>12.1</v>
      </c>
      <c r="AR118" s="30">
        <v>9.1</v>
      </c>
      <c r="AS118" s="30">
        <v>6.8</v>
      </c>
      <c r="AT118" s="30">
        <v>4.7</v>
      </c>
      <c r="AU118" s="30">
        <v>2.85</v>
      </c>
      <c r="AV118" s="30">
        <v>1.55</v>
      </c>
      <c r="AW118" s="30">
        <v>0.45</v>
      </c>
      <c r="AX118" s="30">
        <v>0.35</v>
      </c>
      <c r="AY118" s="30">
        <v>0.1</v>
      </c>
      <c r="AZ118" s="30"/>
      <c r="BA118" s="30"/>
      <c r="BB118" s="30"/>
      <c r="BC118" s="30"/>
      <c r="BD118" s="30"/>
      <c r="BE118" s="30"/>
      <c r="BF118" s="30"/>
      <c r="BG118" s="30"/>
      <c r="BH118" s="30"/>
      <c r="BI118" s="30">
        <v>365.25</v>
      </c>
    </row>
    <row r="119" spans="3:61" x14ac:dyDescent="0.2">
      <c r="C119" s="144" t="s">
        <v>222</v>
      </c>
      <c r="D119" s="145" t="s">
        <v>223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0.55000000000000004</v>
      </c>
      <c r="U119" s="30">
        <v>0.65</v>
      </c>
      <c r="V119" s="30">
        <v>0.95</v>
      </c>
      <c r="W119" s="30">
        <v>2.1</v>
      </c>
      <c r="X119" s="30">
        <v>1.95</v>
      </c>
      <c r="Y119" s="30">
        <v>3.75</v>
      </c>
      <c r="Z119" s="30">
        <v>5</v>
      </c>
      <c r="AA119" s="30">
        <v>6.4</v>
      </c>
      <c r="AB119" s="30">
        <v>8.75</v>
      </c>
      <c r="AC119" s="30">
        <v>12</v>
      </c>
      <c r="AD119" s="30">
        <v>15.45</v>
      </c>
      <c r="AE119" s="30">
        <v>18.7</v>
      </c>
      <c r="AF119" s="30">
        <v>20.6</v>
      </c>
      <c r="AG119" s="30">
        <v>19.350000000000001</v>
      </c>
      <c r="AH119" s="30">
        <v>21.4</v>
      </c>
      <c r="AI119" s="30">
        <v>18.75</v>
      </c>
      <c r="AJ119" s="30">
        <v>18.649999999999999</v>
      </c>
      <c r="AK119" s="30">
        <v>16.649999999999999</v>
      </c>
      <c r="AL119" s="30">
        <v>19.149999999999999</v>
      </c>
      <c r="AM119" s="30">
        <v>17.8</v>
      </c>
      <c r="AN119" s="30">
        <v>19.2</v>
      </c>
      <c r="AO119" s="30">
        <v>19.399999999999999</v>
      </c>
      <c r="AP119" s="30">
        <v>18.05</v>
      </c>
      <c r="AQ119" s="30">
        <v>16.45</v>
      </c>
      <c r="AR119" s="30">
        <v>15.4</v>
      </c>
      <c r="AS119" s="30">
        <v>14.55</v>
      </c>
      <c r="AT119" s="30">
        <v>12.2</v>
      </c>
      <c r="AU119" s="30">
        <v>8.4</v>
      </c>
      <c r="AV119" s="30">
        <v>5.5</v>
      </c>
      <c r="AW119" s="30">
        <v>3.9</v>
      </c>
      <c r="AX119" s="30">
        <v>2.2000000000000002</v>
      </c>
      <c r="AY119" s="30">
        <v>0.9</v>
      </c>
      <c r="AZ119" s="30">
        <v>0.35</v>
      </c>
      <c r="BA119" s="30">
        <v>0.1</v>
      </c>
      <c r="BB119" s="30">
        <v>0.05</v>
      </c>
      <c r="BC119" s="30"/>
      <c r="BD119" s="30"/>
      <c r="BE119" s="30"/>
      <c r="BF119" s="30"/>
      <c r="BG119" s="30"/>
      <c r="BH119" s="30"/>
      <c r="BI119" s="30">
        <v>365.25</v>
      </c>
    </row>
    <row r="120" spans="3:61" x14ac:dyDescent="0.2">
      <c r="C120" s="144" t="s">
        <v>224</v>
      </c>
      <c r="D120" s="145" t="s">
        <v>225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0.05</v>
      </c>
      <c r="K120" s="30">
        <v>0.05</v>
      </c>
      <c r="L120" s="30">
        <v>0</v>
      </c>
      <c r="M120" s="30">
        <v>0.05</v>
      </c>
      <c r="N120" s="30">
        <v>0.05</v>
      </c>
      <c r="O120" s="30">
        <v>0.1</v>
      </c>
      <c r="P120" s="30">
        <v>0.2</v>
      </c>
      <c r="Q120" s="30">
        <v>0.6</v>
      </c>
      <c r="R120" s="30">
        <v>0.45</v>
      </c>
      <c r="S120" s="30">
        <v>0.85</v>
      </c>
      <c r="T120" s="30">
        <v>1.1499999999999999</v>
      </c>
      <c r="U120" s="30">
        <v>2.2000000000000002</v>
      </c>
      <c r="V120" s="30">
        <v>2.5499999999999998</v>
      </c>
      <c r="W120" s="30">
        <v>3.7</v>
      </c>
      <c r="X120" s="30">
        <v>6.75</v>
      </c>
      <c r="Y120" s="30">
        <v>7.85</v>
      </c>
      <c r="Z120" s="30">
        <v>7.95</v>
      </c>
      <c r="AA120" s="30">
        <v>10.050000000000001</v>
      </c>
      <c r="AB120" s="30">
        <v>14</v>
      </c>
      <c r="AC120" s="30">
        <v>13.4</v>
      </c>
      <c r="AD120" s="30">
        <v>14.5</v>
      </c>
      <c r="AE120" s="30">
        <v>17.649999999999999</v>
      </c>
      <c r="AF120" s="30">
        <v>20</v>
      </c>
      <c r="AG120" s="30">
        <v>17.649999999999999</v>
      </c>
      <c r="AH120" s="30">
        <v>18.850000000000001</v>
      </c>
      <c r="AI120" s="30">
        <v>17</v>
      </c>
      <c r="AJ120" s="30">
        <v>16.7</v>
      </c>
      <c r="AK120" s="30">
        <v>17.8</v>
      </c>
      <c r="AL120" s="30">
        <v>16.399999999999999</v>
      </c>
      <c r="AM120" s="30">
        <v>18.75</v>
      </c>
      <c r="AN120" s="30">
        <v>18.2</v>
      </c>
      <c r="AO120" s="30">
        <v>18.75</v>
      </c>
      <c r="AP120" s="30">
        <v>16.8</v>
      </c>
      <c r="AQ120" s="30">
        <v>15.45</v>
      </c>
      <c r="AR120" s="30">
        <v>13.7</v>
      </c>
      <c r="AS120" s="30">
        <v>10.15</v>
      </c>
      <c r="AT120" s="30">
        <v>8.5500000000000007</v>
      </c>
      <c r="AU120" s="30">
        <v>7.1</v>
      </c>
      <c r="AV120" s="30">
        <v>4.1500000000000004</v>
      </c>
      <c r="AW120" s="30">
        <v>2.4500000000000002</v>
      </c>
      <c r="AX120" s="30">
        <v>1.1499999999999999</v>
      </c>
      <c r="AY120" s="30">
        <v>0.65</v>
      </c>
      <c r="AZ120" s="30">
        <v>0.35</v>
      </c>
      <c r="BA120" s="30">
        <v>0.3</v>
      </c>
      <c r="BB120" s="30">
        <v>0.1</v>
      </c>
      <c r="BC120" s="30"/>
      <c r="BD120" s="30"/>
      <c r="BE120" s="30"/>
      <c r="BF120" s="30"/>
      <c r="BG120" s="30"/>
      <c r="BH120" s="30"/>
      <c r="BI120" s="30">
        <v>365.15</v>
      </c>
    </row>
    <row r="121" spans="3:61" x14ac:dyDescent="0.2">
      <c r="C121" s="144" t="s">
        <v>226</v>
      </c>
      <c r="D121" s="145" t="s">
        <v>227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0.1</v>
      </c>
      <c r="V121" s="30">
        <v>0.3</v>
      </c>
      <c r="W121" s="30">
        <v>0.8</v>
      </c>
      <c r="X121" s="30">
        <v>1.75</v>
      </c>
      <c r="Y121" s="30">
        <v>2.15</v>
      </c>
      <c r="Z121" s="30">
        <v>3.55</v>
      </c>
      <c r="AA121" s="30">
        <v>4.9000000000000004</v>
      </c>
      <c r="AB121" s="30">
        <v>6.55</v>
      </c>
      <c r="AC121" s="30">
        <v>8.4</v>
      </c>
      <c r="AD121" s="30">
        <v>9.15</v>
      </c>
      <c r="AE121" s="30">
        <v>11.95</v>
      </c>
      <c r="AF121" s="30">
        <v>17.100000000000001</v>
      </c>
      <c r="AG121" s="30">
        <v>18.350000000000001</v>
      </c>
      <c r="AH121" s="30">
        <v>17.2</v>
      </c>
      <c r="AI121" s="30">
        <v>21.85</v>
      </c>
      <c r="AJ121" s="30">
        <v>20.2</v>
      </c>
      <c r="AK121" s="30">
        <v>19.649999999999999</v>
      </c>
      <c r="AL121" s="30">
        <v>17.600000000000001</v>
      </c>
      <c r="AM121" s="30">
        <v>14.9</v>
      </c>
      <c r="AN121" s="30">
        <v>14.75</v>
      </c>
      <c r="AO121" s="30">
        <v>15.2</v>
      </c>
      <c r="AP121" s="30">
        <v>17.100000000000001</v>
      </c>
      <c r="AQ121" s="30">
        <v>18.100000000000001</v>
      </c>
      <c r="AR121" s="30">
        <v>16.25</v>
      </c>
      <c r="AS121" s="30">
        <v>16.05</v>
      </c>
      <c r="AT121" s="30">
        <v>14.55</v>
      </c>
      <c r="AU121" s="30">
        <v>13.5</v>
      </c>
      <c r="AV121" s="30">
        <v>13.7</v>
      </c>
      <c r="AW121" s="30">
        <v>11.5</v>
      </c>
      <c r="AX121" s="30">
        <v>8.4</v>
      </c>
      <c r="AY121" s="30">
        <v>4.95</v>
      </c>
      <c r="AZ121" s="30">
        <v>2.6</v>
      </c>
      <c r="BA121" s="30">
        <v>1.5</v>
      </c>
      <c r="BB121" s="30">
        <v>0.4</v>
      </c>
      <c r="BC121" s="30">
        <v>0.1</v>
      </c>
      <c r="BD121" s="30">
        <v>0.05</v>
      </c>
      <c r="BE121" s="30">
        <v>0.1</v>
      </c>
      <c r="BF121" s="30"/>
      <c r="BG121" s="30"/>
      <c r="BH121" s="30"/>
      <c r="BI121" s="30">
        <v>365.25</v>
      </c>
    </row>
    <row r="122" spans="3:61" x14ac:dyDescent="0.2">
      <c r="C122" s="144" t="s">
        <v>228</v>
      </c>
      <c r="D122" s="145" t="s">
        <v>229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0.1</v>
      </c>
      <c r="R122" s="30">
        <v>0.3</v>
      </c>
      <c r="S122" s="30">
        <v>0.65</v>
      </c>
      <c r="T122" s="30">
        <v>1.5</v>
      </c>
      <c r="U122" s="30">
        <v>2.0499999999999998</v>
      </c>
      <c r="V122" s="30">
        <v>2.9</v>
      </c>
      <c r="W122" s="30">
        <v>3.15</v>
      </c>
      <c r="X122" s="30">
        <v>4.75</v>
      </c>
      <c r="Y122" s="30">
        <v>7.3</v>
      </c>
      <c r="Z122" s="30">
        <v>8.1999999999999993</v>
      </c>
      <c r="AA122" s="30">
        <v>11.55</v>
      </c>
      <c r="AB122" s="30">
        <v>13.6</v>
      </c>
      <c r="AC122" s="30">
        <v>15.65</v>
      </c>
      <c r="AD122" s="30">
        <v>19.399999999999999</v>
      </c>
      <c r="AE122" s="30">
        <v>20.65</v>
      </c>
      <c r="AF122" s="30">
        <v>20.05</v>
      </c>
      <c r="AG122" s="30">
        <v>19.45</v>
      </c>
      <c r="AH122" s="30">
        <v>17.100000000000001</v>
      </c>
      <c r="AI122" s="30">
        <v>15.3</v>
      </c>
      <c r="AJ122" s="30">
        <v>16.05</v>
      </c>
      <c r="AK122" s="30">
        <v>15.95</v>
      </c>
      <c r="AL122" s="30">
        <v>17.600000000000001</v>
      </c>
      <c r="AM122" s="30">
        <v>17.5</v>
      </c>
      <c r="AN122" s="30">
        <v>17.100000000000001</v>
      </c>
      <c r="AO122" s="30">
        <v>14.8</v>
      </c>
      <c r="AP122" s="30">
        <v>14.6</v>
      </c>
      <c r="AQ122" s="30">
        <v>11.75</v>
      </c>
      <c r="AR122" s="30">
        <v>12.75</v>
      </c>
      <c r="AS122" s="30">
        <v>11.3</v>
      </c>
      <c r="AT122" s="30">
        <v>10</v>
      </c>
      <c r="AU122" s="30">
        <v>7.5</v>
      </c>
      <c r="AV122" s="30">
        <v>6</v>
      </c>
      <c r="AW122" s="30">
        <v>4.2</v>
      </c>
      <c r="AX122" s="30">
        <v>2.15</v>
      </c>
      <c r="AY122" s="30">
        <v>1.45</v>
      </c>
      <c r="AZ122" s="30">
        <v>0.5</v>
      </c>
      <c r="BA122" s="30">
        <v>0.25</v>
      </c>
      <c r="BB122" s="30">
        <v>0.1</v>
      </c>
      <c r="BC122" s="30">
        <v>0.05</v>
      </c>
      <c r="BD122" s="30"/>
      <c r="BE122" s="30"/>
      <c r="BF122" s="30"/>
      <c r="BG122" s="30"/>
      <c r="BH122" s="30"/>
      <c r="BI122" s="30">
        <v>365.25</v>
      </c>
    </row>
    <row r="123" spans="3:61" x14ac:dyDescent="0.2">
      <c r="C123" s="144" t="s">
        <v>230</v>
      </c>
      <c r="D123" s="145" t="s">
        <v>231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0.05</v>
      </c>
      <c r="W123" s="30">
        <v>0.2</v>
      </c>
      <c r="X123" s="30">
        <v>0.35</v>
      </c>
      <c r="Y123" s="30">
        <v>1.45</v>
      </c>
      <c r="Z123" s="30">
        <v>2.1</v>
      </c>
      <c r="AA123" s="30">
        <v>3.2</v>
      </c>
      <c r="AB123" s="30">
        <v>4.95</v>
      </c>
      <c r="AC123" s="30">
        <v>7.7</v>
      </c>
      <c r="AD123" s="30">
        <v>8.75</v>
      </c>
      <c r="AE123" s="30">
        <v>10.65</v>
      </c>
      <c r="AF123" s="30">
        <v>11.7</v>
      </c>
      <c r="AG123" s="30">
        <v>16.05</v>
      </c>
      <c r="AH123" s="30">
        <v>16.2</v>
      </c>
      <c r="AI123" s="30">
        <v>18.149999999999999</v>
      </c>
      <c r="AJ123" s="30">
        <v>18.25</v>
      </c>
      <c r="AK123" s="30">
        <v>18.3</v>
      </c>
      <c r="AL123" s="30">
        <v>18.600000000000001</v>
      </c>
      <c r="AM123" s="30">
        <v>17.3</v>
      </c>
      <c r="AN123" s="30">
        <v>13.95</v>
      </c>
      <c r="AO123" s="30">
        <v>12.45</v>
      </c>
      <c r="AP123" s="30">
        <v>15.45</v>
      </c>
      <c r="AQ123" s="30">
        <v>15.4</v>
      </c>
      <c r="AR123" s="30">
        <v>18.350000000000001</v>
      </c>
      <c r="AS123" s="30">
        <v>15.3</v>
      </c>
      <c r="AT123" s="30">
        <v>15.4</v>
      </c>
      <c r="AU123" s="30">
        <v>16.55</v>
      </c>
      <c r="AV123" s="30">
        <v>14.2</v>
      </c>
      <c r="AW123" s="30">
        <v>14.8</v>
      </c>
      <c r="AX123" s="30">
        <v>14.05</v>
      </c>
      <c r="AY123" s="30">
        <v>12.8</v>
      </c>
      <c r="AZ123" s="30">
        <v>7.1</v>
      </c>
      <c r="BA123" s="30">
        <v>3.85</v>
      </c>
      <c r="BB123" s="30">
        <v>1.2</v>
      </c>
      <c r="BC123" s="30">
        <v>0.4</v>
      </c>
      <c r="BD123" s="30">
        <v>0.05</v>
      </c>
      <c r="BE123" s="30"/>
      <c r="BF123" s="30"/>
      <c r="BG123" s="30"/>
      <c r="BH123" s="30"/>
      <c r="BI123" s="30">
        <v>365.25</v>
      </c>
    </row>
    <row r="124" spans="3:61" x14ac:dyDescent="0.2">
      <c r="C124" s="144" t="s">
        <v>232</v>
      </c>
      <c r="D124" s="145" t="s">
        <v>233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0.05</v>
      </c>
      <c r="P124" s="30">
        <v>0.1</v>
      </c>
      <c r="Q124" s="30">
        <v>0</v>
      </c>
      <c r="R124" s="30">
        <v>0.05</v>
      </c>
      <c r="S124" s="30">
        <v>0</v>
      </c>
      <c r="T124" s="30">
        <v>0.35</v>
      </c>
      <c r="U124" s="30">
        <v>0.7</v>
      </c>
      <c r="V124" s="30">
        <v>1.25</v>
      </c>
      <c r="W124" s="30">
        <v>1.8</v>
      </c>
      <c r="X124" s="30">
        <v>3</v>
      </c>
      <c r="Y124" s="30">
        <v>3.85</v>
      </c>
      <c r="Z124" s="30">
        <v>5.15</v>
      </c>
      <c r="AA124" s="30">
        <v>7.3</v>
      </c>
      <c r="AB124" s="30">
        <v>8.6999999999999993</v>
      </c>
      <c r="AC124" s="30">
        <v>11.2</v>
      </c>
      <c r="AD124" s="30">
        <v>16</v>
      </c>
      <c r="AE124" s="30">
        <v>18.350000000000001</v>
      </c>
      <c r="AF124" s="30">
        <v>21.2</v>
      </c>
      <c r="AG124" s="30">
        <v>23.35</v>
      </c>
      <c r="AH124" s="30">
        <v>23.45</v>
      </c>
      <c r="AI124" s="30">
        <v>22.2</v>
      </c>
      <c r="AJ124" s="30">
        <v>23.6</v>
      </c>
      <c r="AK124" s="30">
        <v>20.3</v>
      </c>
      <c r="AL124" s="30">
        <v>21.25</v>
      </c>
      <c r="AM124" s="30">
        <v>23.2</v>
      </c>
      <c r="AN124" s="30">
        <v>23.05</v>
      </c>
      <c r="AO124" s="30">
        <v>23.45</v>
      </c>
      <c r="AP124" s="30">
        <v>19.3</v>
      </c>
      <c r="AQ124" s="30">
        <v>15.7</v>
      </c>
      <c r="AR124" s="30">
        <v>10.3</v>
      </c>
      <c r="AS124" s="30">
        <v>7</v>
      </c>
      <c r="AT124" s="30">
        <v>4.6500000000000004</v>
      </c>
      <c r="AU124" s="30">
        <v>2.4</v>
      </c>
      <c r="AV124" s="30">
        <v>1.4</v>
      </c>
      <c r="AW124" s="30">
        <v>0.8</v>
      </c>
      <c r="AX124" s="30">
        <v>0.4</v>
      </c>
      <c r="AY124" s="30">
        <v>0.3</v>
      </c>
      <c r="AZ124" s="30"/>
      <c r="BA124" s="30">
        <v>0.05</v>
      </c>
      <c r="BB124" s="30"/>
      <c r="BC124" s="30">
        <v>0.05</v>
      </c>
      <c r="BD124" s="30"/>
      <c r="BE124" s="30"/>
      <c r="BF124" s="30"/>
      <c r="BG124" s="30"/>
      <c r="BH124" s="30"/>
      <c r="BI124" s="30">
        <v>365.25</v>
      </c>
    </row>
    <row r="125" spans="3:61" x14ac:dyDescent="0.2">
      <c r="C125" s="144" t="s">
        <v>234</v>
      </c>
      <c r="D125" s="145" t="s">
        <v>235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0.05</v>
      </c>
      <c r="P125" s="30">
        <v>0.05</v>
      </c>
      <c r="Q125" s="30">
        <v>0.25</v>
      </c>
      <c r="R125" s="30">
        <v>0.7</v>
      </c>
      <c r="S125" s="30">
        <v>1.55</v>
      </c>
      <c r="T125" s="30">
        <v>1.2</v>
      </c>
      <c r="U125" s="30">
        <v>2.6</v>
      </c>
      <c r="V125" s="30">
        <v>3.15</v>
      </c>
      <c r="W125" s="30">
        <v>3.8</v>
      </c>
      <c r="X125" s="30">
        <v>5.3</v>
      </c>
      <c r="Y125" s="30">
        <v>7.2</v>
      </c>
      <c r="Z125" s="30">
        <v>9.0500000000000007</v>
      </c>
      <c r="AA125" s="30">
        <v>12.25</v>
      </c>
      <c r="AB125" s="30">
        <v>15.3</v>
      </c>
      <c r="AC125" s="30">
        <v>17.55</v>
      </c>
      <c r="AD125" s="30">
        <v>17.899999999999999</v>
      </c>
      <c r="AE125" s="30">
        <v>19.95</v>
      </c>
      <c r="AF125" s="30">
        <v>18.899999999999999</v>
      </c>
      <c r="AG125" s="30">
        <v>19.600000000000001</v>
      </c>
      <c r="AH125" s="30">
        <v>19.7</v>
      </c>
      <c r="AI125" s="30">
        <v>16.600000000000001</v>
      </c>
      <c r="AJ125" s="30">
        <v>17.649999999999999</v>
      </c>
      <c r="AK125" s="30">
        <v>18.899999999999999</v>
      </c>
      <c r="AL125" s="30">
        <v>18.95</v>
      </c>
      <c r="AM125" s="30">
        <v>16.899999999999999</v>
      </c>
      <c r="AN125" s="30">
        <v>18.600000000000001</v>
      </c>
      <c r="AO125" s="30">
        <v>16.350000000000001</v>
      </c>
      <c r="AP125" s="30">
        <v>13.55</v>
      </c>
      <c r="AQ125" s="30">
        <v>12.25</v>
      </c>
      <c r="AR125" s="30">
        <v>11.5</v>
      </c>
      <c r="AS125" s="30">
        <v>9.1</v>
      </c>
      <c r="AT125" s="30">
        <v>6.7</v>
      </c>
      <c r="AU125" s="30">
        <v>5.05</v>
      </c>
      <c r="AV125" s="30">
        <v>3.75</v>
      </c>
      <c r="AW125" s="30">
        <v>1.8</v>
      </c>
      <c r="AX125" s="30">
        <v>0.8</v>
      </c>
      <c r="AY125" s="30">
        <v>0.35</v>
      </c>
      <c r="AZ125" s="30">
        <v>0.3</v>
      </c>
      <c r="BA125" s="30">
        <v>0.1</v>
      </c>
      <c r="BB125" s="30"/>
      <c r="BC125" s="30"/>
      <c r="BD125" s="30"/>
      <c r="BE125" s="30"/>
      <c r="BF125" s="30"/>
      <c r="BG125" s="30"/>
      <c r="BH125" s="30"/>
      <c r="BI125" s="30">
        <v>365.25</v>
      </c>
    </row>
    <row r="126" spans="3:61" x14ac:dyDescent="0.2">
      <c r="C126" s="144" t="s">
        <v>236</v>
      </c>
      <c r="D126" s="145" t="s">
        <v>237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>
        <v>0</v>
      </c>
      <c r="N126" s="30">
        <v>0</v>
      </c>
      <c r="O126" s="30">
        <v>0</v>
      </c>
      <c r="P126" s="30">
        <v>0</v>
      </c>
      <c r="Q126" s="30">
        <v>0</v>
      </c>
      <c r="R126" s="30">
        <v>0.05</v>
      </c>
      <c r="S126" s="30">
        <v>0.2</v>
      </c>
      <c r="T126" s="30">
        <v>0.25</v>
      </c>
      <c r="U126" s="30">
        <v>0.2</v>
      </c>
      <c r="V126" s="30">
        <v>1.1000000000000001</v>
      </c>
      <c r="W126" s="30">
        <v>1.6</v>
      </c>
      <c r="X126" s="30">
        <v>1.85</v>
      </c>
      <c r="Y126" s="30">
        <v>2.85</v>
      </c>
      <c r="Z126" s="30">
        <v>4.2</v>
      </c>
      <c r="AA126" s="30">
        <v>6.05</v>
      </c>
      <c r="AB126" s="30">
        <v>7.8</v>
      </c>
      <c r="AC126" s="30">
        <v>8.5</v>
      </c>
      <c r="AD126" s="30">
        <v>9.6</v>
      </c>
      <c r="AE126" s="30">
        <v>11.65</v>
      </c>
      <c r="AF126" s="30">
        <v>15.75</v>
      </c>
      <c r="AG126" s="30">
        <v>18.05</v>
      </c>
      <c r="AH126" s="30">
        <v>19.350000000000001</v>
      </c>
      <c r="AI126" s="30">
        <v>22.35</v>
      </c>
      <c r="AJ126" s="30">
        <v>20.65</v>
      </c>
      <c r="AK126" s="30">
        <v>19.75</v>
      </c>
      <c r="AL126" s="30">
        <v>17.3</v>
      </c>
      <c r="AM126" s="30">
        <v>17.149999999999999</v>
      </c>
      <c r="AN126" s="30">
        <v>19.25</v>
      </c>
      <c r="AO126" s="30">
        <v>18.850000000000001</v>
      </c>
      <c r="AP126" s="30">
        <v>18.350000000000001</v>
      </c>
      <c r="AQ126" s="30">
        <v>19</v>
      </c>
      <c r="AR126" s="30">
        <v>18.55</v>
      </c>
      <c r="AS126" s="30">
        <v>17.55</v>
      </c>
      <c r="AT126" s="30">
        <v>13.1</v>
      </c>
      <c r="AU126" s="30">
        <v>9.9</v>
      </c>
      <c r="AV126" s="30">
        <v>7.8</v>
      </c>
      <c r="AW126" s="30">
        <v>6.65</v>
      </c>
      <c r="AX126" s="30">
        <v>4.45</v>
      </c>
      <c r="AY126" s="30">
        <v>2.9</v>
      </c>
      <c r="AZ126" s="30">
        <v>1.2</v>
      </c>
      <c r="BA126" s="30">
        <v>1</v>
      </c>
      <c r="BB126" s="30">
        <v>0.25</v>
      </c>
      <c r="BC126" s="30">
        <v>0.2</v>
      </c>
      <c r="BD126" s="30"/>
      <c r="BE126" s="30"/>
      <c r="BF126" s="30"/>
      <c r="BG126" s="30"/>
      <c r="BH126" s="30"/>
      <c r="BI126" s="30">
        <v>365.25</v>
      </c>
    </row>
    <row r="127" spans="3:61" x14ac:dyDescent="0.2">
      <c r="C127" s="144" t="s">
        <v>238</v>
      </c>
      <c r="D127" s="145" t="s">
        <v>239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0.15</v>
      </c>
      <c r="T127" s="30">
        <v>0.05</v>
      </c>
      <c r="U127" s="30">
        <v>0.25</v>
      </c>
      <c r="V127" s="30">
        <v>0.4</v>
      </c>
      <c r="W127" s="30">
        <v>0.8</v>
      </c>
      <c r="X127" s="30">
        <v>1.65</v>
      </c>
      <c r="Y127" s="30">
        <v>2.35</v>
      </c>
      <c r="Z127" s="30">
        <v>3.8</v>
      </c>
      <c r="AA127" s="30">
        <v>4.6500000000000004</v>
      </c>
      <c r="AB127" s="30">
        <v>6.8</v>
      </c>
      <c r="AC127" s="30">
        <v>7.2</v>
      </c>
      <c r="AD127" s="30">
        <v>9</v>
      </c>
      <c r="AE127" s="30">
        <v>10.55</v>
      </c>
      <c r="AF127" s="30">
        <v>14.4</v>
      </c>
      <c r="AG127" s="30">
        <v>17.8</v>
      </c>
      <c r="AH127" s="30">
        <v>23.05</v>
      </c>
      <c r="AI127" s="30">
        <v>26.3</v>
      </c>
      <c r="AJ127" s="30">
        <v>22.9</v>
      </c>
      <c r="AK127" s="30">
        <v>20.350000000000001</v>
      </c>
      <c r="AL127" s="30">
        <v>17.95</v>
      </c>
      <c r="AM127" s="30">
        <v>17.5</v>
      </c>
      <c r="AN127" s="30">
        <v>18</v>
      </c>
      <c r="AO127" s="30">
        <v>21.45</v>
      </c>
      <c r="AP127" s="30">
        <v>22.6</v>
      </c>
      <c r="AQ127" s="30">
        <v>21.35</v>
      </c>
      <c r="AR127" s="30">
        <v>21.8</v>
      </c>
      <c r="AS127" s="30">
        <v>16.45</v>
      </c>
      <c r="AT127" s="30">
        <v>11</v>
      </c>
      <c r="AU127" s="30">
        <v>8.1999999999999993</v>
      </c>
      <c r="AV127" s="30">
        <v>5.55</v>
      </c>
      <c r="AW127" s="30">
        <v>4.8499999999999996</v>
      </c>
      <c r="AX127" s="30">
        <v>2.9</v>
      </c>
      <c r="AY127" s="30">
        <v>1.5</v>
      </c>
      <c r="AZ127" s="30">
        <v>0.8</v>
      </c>
      <c r="BA127" s="30">
        <v>0.6</v>
      </c>
      <c r="BB127" s="30">
        <v>0.25</v>
      </c>
      <c r="BC127" s="30">
        <v>0.05</v>
      </c>
      <c r="BD127" s="30"/>
      <c r="BE127" s="30"/>
      <c r="BF127" s="30"/>
      <c r="BG127" s="30"/>
      <c r="BH127" s="30"/>
      <c r="BI127" s="30">
        <v>365.25</v>
      </c>
    </row>
    <row r="128" spans="3:61" x14ac:dyDescent="0.2">
      <c r="C128" s="144" t="s">
        <v>240</v>
      </c>
      <c r="D128" s="145" t="s">
        <v>241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0.05</v>
      </c>
      <c r="P128" s="30">
        <v>0</v>
      </c>
      <c r="Q128" s="30">
        <v>0.1</v>
      </c>
      <c r="R128" s="30">
        <v>0.3</v>
      </c>
      <c r="S128" s="30">
        <v>0.55000000000000004</v>
      </c>
      <c r="T128" s="30">
        <v>0.65</v>
      </c>
      <c r="U128" s="30">
        <v>1.45</v>
      </c>
      <c r="V128" s="30">
        <v>2.0499999999999998</v>
      </c>
      <c r="W128" s="30">
        <v>3.05</v>
      </c>
      <c r="X128" s="30">
        <v>5.3</v>
      </c>
      <c r="Y128" s="30">
        <v>6.1</v>
      </c>
      <c r="Z128" s="30">
        <v>7.35</v>
      </c>
      <c r="AA128" s="30">
        <v>8.35</v>
      </c>
      <c r="AB128" s="30">
        <v>11.55</v>
      </c>
      <c r="AC128" s="30">
        <v>11.35</v>
      </c>
      <c r="AD128" s="30">
        <v>14.8</v>
      </c>
      <c r="AE128" s="30">
        <v>15.75</v>
      </c>
      <c r="AF128" s="30">
        <v>17.45</v>
      </c>
      <c r="AG128" s="30">
        <v>19.8</v>
      </c>
      <c r="AH128" s="30">
        <v>19.649999999999999</v>
      </c>
      <c r="AI128" s="30">
        <v>19.100000000000001</v>
      </c>
      <c r="AJ128" s="30">
        <v>16.3</v>
      </c>
      <c r="AK128" s="30">
        <v>16.7</v>
      </c>
      <c r="AL128" s="30">
        <v>17.55</v>
      </c>
      <c r="AM128" s="30">
        <v>17.75</v>
      </c>
      <c r="AN128" s="30">
        <v>17.55</v>
      </c>
      <c r="AO128" s="30">
        <v>17.899999999999999</v>
      </c>
      <c r="AP128" s="30">
        <v>18.45</v>
      </c>
      <c r="AQ128" s="30">
        <v>17</v>
      </c>
      <c r="AR128" s="30">
        <v>14.5</v>
      </c>
      <c r="AS128" s="30">
        <v>11.05</v>
      </c>
      <c r="AT128" s="30">
        <v>11.2</v>
      </c>
      <c r="AU128" s="30">
        <v>7.6</v>
      </c>
      <c r="AV128" s="30">
        <v>6.55</v>
      </c>
      <c r="AW128" s="30">
        <v>5</v>
      </c>
      <c r="AX128" s="30">
        <v>2.4500000000000002</v>
      </c>
      <c r="AY128" s="30">
        <v>1.1000000000000001</v>
      </c>
      <c r="AZ128" s="30">
        <v>0.7</v>
      </c>
      <c r="BA128" s="30">
        <v>0.6</v>
      </c>
      <c r="BB128" s="30">
        <v>0.25</v>
      </c>
      <c r="BC128" s="30">
        <v>0.25</v>
      </c>
      <c r="BD128" s="30">
        <v>0.05</v>
      </c>
      <c r="BE128" s="30"/>
      <c r="BF128" s="30"/>
      <c r="BG128" s="30"/>
      <c r="BH128" s="30"/>
      <c r="BI128" s="30">
        <v>365.25</v>
      </c>
    </row>
    <row r="129" spans="3:61" x14ac:dyDescent="0.2">
      <c r="C129" s="144" t="s">
        <v>242</v>
      </c>
      <c r="D129" s="145" t="s">
        <v>243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0.05</v>
      </c>
      <c r="S129" s="30">
        <v>0.4</v>
      </c>
      <c r="T129" s="30">
        <v>0.6</v>
      </c>
      <c r="U129" s="30">
        <v>1</v>
      </c>
      <c r="V129" s="30">
        <v>1.2</v>
      </c>
      <c r="W129" s="30">
        <v>2.0499999999999998</v>
      </c>
      <c r="X129" s="30">
        <v>3.35</v>
      </c>
      <c r="Y129" s="30">
        <v>4.45</v>
      </c>
      <c r="Z129" s="30">
        <v>6.4</v>
      </c>
      <c r="AA129" s="30">
        <v>6.6</v>
      </c>
      <c r="AB129" s="30">
        <v>8.6999999999999993</v>
      </c>
      <c r="AC129" s="30">
        <v>10.95</v>
      </c>
      <c r="AD129" s="30">
        <v>14.25</v>
      </c>
      <c r="AE129" s="30">
        <v>14.2</v>
      </c>
      <c r="AF129" s="30">
        <v>16.350000000000001</v>
      </c>
      <c r="AG129" s="30">
        <v>18.2</v>
      </c>
      <c r="AH129" s="30">
        <v>20.65</v>
      </c>
      <c r="AI129" s="30">
        <v>18.649999999999999</v>
      </c>
      <c r="AJ129" s="30">
        <v>19.399999999999999</v>
      </c>
      <c r="AK129" s="30">
        <v>17.7</v>
      </c>
      <c r="AL129" s="30">
        <v>17.7</v>
      </c>
      <c r="AM129" s="30">
        <v>17.5</v>
      </c>
      <c r="AN129" s="30">
        <v>18.2</v>
      </c>
      <c r="AO129" s="30">
        <v>18.350000000000001</v>
      </c>
      <c r="AP129" s="30">
        <v>17.149999999999999</v>
      </c>
      <c r="AQ129" s="30">
        <v>19.55</v>
      </c>
      <c r="AR129" s="30">
        <v>14.6</v>
      </c>
      <c r="AS129" s="30">
        <v>14.8</v>
      </c>
      <c r="AT129" s="30">
        <v>13.5</v>
      </c>
      <c r="AU129" s="30">
        <v>8.9</v>
      </c>
      <c r="AV129" s="30">
        <v>8.35</v>
      </c>
      <c r="AW129" s="30">
        <v>5.45</v>
      </c>
      <c r="AX129" s="30">
        <v>2.75</v>
      </c>
      <c r="AY129" s="30">
        <v>1.8</v>
      </c>
      <c r="AZ129" s="30">
        <v>0.85</v>
      </c>
      <c r="BA129" s="30">
        <v>0.55000000000000004</v>
      </c>
      <c r="BB129" s="30">
        <v>0.1</v>
      </c>
      <c r="BC129" s="30"/>
      <c r="BD129" s="30"/>
      <c r="BE129" s="30"/>
      <c r="BF129" s="30"/>
      <c r="BG129" s="30"/>
      <c r="BH129" s="30"/>
      <c r="BI129" s="30">
        <v>365.25</v>
      </c>
    </row>
    <row r="130" spans="3:61" x14ac:dyDescent="0.2">
      <c r="C130" s="144" t="s">
        <v>244</v>
      </c>
      <c r="D130" s="145" t="s">
        <v>245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30">
        <v>0</v>
      </c>
      <c r="Z130" s="30">
        <v>0.15</v>
      </c>
      <c r="AA130" s="30">
        <v>0.5</v>
      </c>
      <c r="AB130" s="30">
        <v>0.8</v>
      </c>
      <c r="AC130" s="30">
        <v>2.1</v>
      </c>
      <c r="AD130" s="30">
        <v>4.75</v>
      </c>
      <c r="AE130" s="30">
        <v>5.7</v>
      </c>
      <c r="AF130" s="30">
        <v>11.65</v>
      </c>
      <c r="AG130" s="30">
        <v>19.100000000000001</v>
      </c>
      <c r="AH130" s="30">
        <v>22.85</v>
      </c>
      <c r="AI130" s="30">
        <v>25.1</v>
      </c>
      <c r="AJ130" s="30">
        <v>25.5</v>
      </c>
      <c r="AK130" s="30">
        <v>23.3</v>
      </c>
      <c r="AL130" s="30">
        <v>17.2</v>
      </c>
      <c r="AM130" s="30">
        <v>16.5</v>
      </c>
      <c r="AN130" s="30">
        <v>16.899999999999999</v>
      </c>
      <c r="AO130" s="30">
        <v>17.850000000000001</v>
      </c>
      <c r="AP130" s="30">
        <v>17.2</v>
      </c>
      <c r="AQ130" s="30">
        <v>17.2</v>
      </c>
      <c r="AR130" s="30">
        <v>19.399999999999999</v>
      </c>
      <c r="AS130" s="30">
        <v>18.350000000000001</v>
      </c>
      <c r="AT130" s="30">
        <v>21.55</v>
      </c>
      <c r="AU130" s="30">
        <v>19.8</v>
      </c>
      <c r="AV130" s="30">
        <v>17.149999999999999</v>
      </c>
      <c r="AW130" s="30">
        <v>12</v>
      </c>
      <c r="AX130" s="30">
        <v>6.2</v>
      </c>
      <c r="AY130" s="30">
        <v>3.65</v>
      </c>
      <c r="AZ130" s="30">
        <v>1.1499999999999999</v>
      </c>
      <c r="BA130" s="30">
        <v>1.05</v>
      </c>
      <c r="BB130" s="30">
        <v>0.25</v>
      </c>
      <c r="BC130" s="30">
        <v>0.3</v>
      </c>
      <c r="BD130" s="30"/>
      <c r="BE130" s="30">
        <v>0.05</v>
      </c>
      <c r="BF130" s="30"/>
      <c r="BG130" s="30"/>
      <c r="BH130" s="30"/>
      <c r="BI130" s="30">
        <v>365.25</v>
      </c>
    </row>
    <row r="131" spans="3:61" x14ac:dyDescent="0.2">
      <c r="C131" s="144" t="s">
        <v>246</v>
      </c>
      <c r="D131" s="145" t="s">
        <v>247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30">
        <v>0</v>
      </c>
      <c r="Z131" s="30">
        <v>0.2</v>
      </c>
      <c r="AA131" s="30">
        <v>0.45</v>
      </c>
      <c r="AB131" s="30">
        <v>0.9</v>
      </c>
      <c r="AC131" s="30">
        <v>2.1</v>
      </c>
      <c r="AD131" s="30">
        <v>4.3499999999999996</v>
      </c>
      <c r="AE131" s="30">
        <v>5</v>
      </c>
      <c r="AF131" s="30">
        <v>9.1999999999999993</v>
      </c>
      <c r="AG131" s="30">
        <v>13.9</v>
      </c>
      <c r="AH131" s="30">
        <v>19.5</v>
      </c>
      <c r="AI131" s="30">
        <v>23.15</v>
      </c>
      <c r="AJ131" s="30">
        <v>28.15</v>
      </c>
      <c r="AK131" s="30">
        <v>26.4</v>
      </c>
      <c r="AL131" s="30">
        <v>20.149999999999999</v>
      </c>
      <c r="AM131" s="30">
        <v>16.149999999999999</v>
      </c>
      <c r="AN131" s="30">
        <v>15.5</v>
      </c>
      <c r="AO131" s="30">
        <v>16.850000000000001</v>
      </c>
      <c r="AP131" s="30">
        <v>17.55</v>
      </c>
      <c r="AQ131" s="30">
        <v>16.5</v>
      </c>
      <c r="AR131" s="30">
        <v>16.149999999999999</v>
      </c>
      <c r="AS131" s="30">
        <v>15.85</v>
      </c>
      <c r="AT131" s="30">
        <v>16.899999999999999</v>
      </c>
      <c r="AU131" s="30">
        <v>17.2</v>
      </c>
      <c r="AV131" s="30">
        <v>17.5</v>
      </c>
      <c r="AW131" s="30">
        <v>19.149999999999999</v>
      </c>
      <c r="AX131" s="30">
        <v>14.15</v>
      </c>
      <c r="AY131" s="30">
        <v>7.65</v>
      </c>
      <c r="AZ131" s="30">
        <v>3.4</v>
      </c>
      <c r="BA131" s="30">
        <v>0.8</v>
      </c>
      <c r="BB131" s="30">
        <v>0.3</v>
      </c>
      <c r="BC131" s="30">
        <v>0.15</v>
      </c>
      <c r="BD131" s="30">
        <v>0.05</v>
      </c>
      <c r="BE131" s="30"/>
      <c r="BF131" s="30"/>
      <c r="BG131" s="30"/>
      <c r="BH131" s="30"/>
      <c r="BI131" s="30">
        <v>365.25</v>
      </c>
    </row>
    <row r="132" spans="3:61" x14ac:dyDescent="0.2">
      <c r="C132" s="144" t="s">
        <v>248</v>
      </c>
      <c r="D132" s="145" t="s">
        <v>249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0">
        <v>0</v>
      </c>
      <c r="O132" s="30">
        <v>0.1</v>
      </c>
      <c r="P132" s="30">
        <v>0.35</v>
      </c>
      <c r="Q132" s="30">
        <v>0.3</v>
      </c>
      <c r="R132" s="30">
        <v>0.9</v>
      </c>
      <c r="S132" s="30">
        <v>1.1499999999999999</v>
      </c>
      <c r="T132" s="30">
        <v>1.45</v>
      </c>
      <c r="U132" s="30">
        <v>2.75</v>
      </c>
      <c r="V132" s="30">
        <v>4.05</v>
      </c>
      <c r="W132" s="30">
        <v>6.1</v>
      </c>
      <c r="X132" s="30">
        <v>6.55</v>
      </c>
      <c r="Y132" s="30">
        <v>8.35</v>
      </c>
      <c r="Z132" s="30">
        <v>10.4</v>
      </c>
      <c r="AA132" s="30">
        <v>10.6</v>
      </c>
      <c r="AB132" s="30">
        <v>12.75</v>
      </c>
      <c r="AC132" s="30">
        <v>14.05</v>
      </c>
      <c r="AD132" s="30">
        <v>15.2</v>
      </c>
      <c r="AE132" s="30">
        <v>16.3</v>
      </c>
      <c r="AF132" s="30">
        <v>15.3</v>
      </c>
      <c r="AG132" s="30">
        <v>18.05</v>
      </c>
      <c r="AH132" s="30">
        <v>16.8</v>
      </c>
      <c r="AI132" s="30">
        <v>14.8</v>
      </c>
      <c r="AJ132" s="30">
        <v>14.8</v>
      </c>
      <c r="AK132" s="30">
        <v>15.75</v>
      </c>
      <c r="AL132" s="30">
        <v>15.75</v>
      </c>
      <c r="AM132" s="30">
        <v>16.5</v>
      </c>
      <c r="AN132" s="30">
        <v>16.3</v>
      </c>
      <c r="AO132" s="30">
        <v>17.2</v>
      </c>
      <c r="AP132" s="30">
        <v>15.4</v>
      </c>
      <c r="AQ132" s="30">
        <v>15.4</v>
      </c>
      <c r="AR132" s="30">
        <v>14</v>
      </c>
      <c r="AS132" s="30">
        <v>11.75</v>
      </c>
      <c r="AT132" s="30">
        <v>10.25</v>
      </c>
      <c r="AU132" s="30">
        <v>8.8000000000000007</v>
      </c>
      <c r="AV132" s="30">
        <v>7</v>
      </c>
      <c r="AW132" s="30">
        <v>4.7</v>
      </c>
      <c r="AX132" s="30">
        <v>3.05</v>
      </c>
      <c r="AY132" s="30">
        <v>1.1000000000000001</v>
      </c>
      <c r="AZ132" s="30">
        <v>0.6</v>
      </c>
      <c r="BA132" s="30">
        <v>0.2</v>
      </c>
      <c r="BB132" s="30">
        <v>0.2</v>
      </c>
      <c r="BC132" s="30">
        <v>0.15</v>
      </c>
      <c r="BD132" s="30">
        <v>0.05</v>
      </c>
      <c r="BE132" s="30"/>
      <c r="BF132" s="30"/>
      <c r="BG132" s="30"/>
      <c r="BH132" s="30"/>
      <c r="BI132" s="30">
        <v>365.25</v>
      </c>
    </row>
    <row r="133" spans="3:61" x14ac:dyDescent="0.2">
      <c r="C133" s="144" t="s">
        <v>250</v>
      </c>
      <c r="D133" s="145" t="s">
        <v>251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0.05</v>
      </c>
      <c r="R133" s="30">
        <v>0</v>
      </c>
      <c r="S133" s="30">
        <v>0.1</v>
      </c>
      <c r="T133" s="30">
        <v>0.1</v>
      </c>
      <c r="U133" s="30">
        <v>0.05</v>
      </c>
      <c r="V133" s="30">
        <v>0.65</v>
      </c>
      <c r="W133" s="30">
        <v>1.2</v>
      </c>
      <c r="X133" s="30">
        <v>1.9</v>
      </c>
      <c r="Y133" s="30">
        <v>2.8</v>
      </c>
      <c r="Z133" s="30">
        <v>4.0999999999999996</v>
      </c>
      <c r="AA133" s="30">
        <v>5.9</v>
      </c>
      <c r="AB133" s="30">
        <v>7.8</v>
      </c>
      <c r="AC133" s="30">
        <v>11.15</v>
      </c>
      <c r="AD133" s="30">
        <v>14.85</v>
      </c>
      <c r="AE133" s="30">
        <v>20.5</v>
      </c>
      <c r="AF133" s="30">
        <v>23.8</v>
      </c>
      <c r="AG133" s="30">
        <v>24.5</v>
      </c>
      <c r="AH133" s="30">
        <v>26.25</v>
      </c>
      <c r="AI133" s="30">
        <v>25.95</v>
      </c>
      <c r="AJ133" s="30">
        <v>23.85</v>
      </c>
      <c r="AK133" s="30">
        <v>24.7</v>
      </c>
      <c r="AL133" s="30">
        <v>23.5</v>
      </c>
      <c r="AM133" s="30">
        <v>25.3</v>
      </c>
      <c r="AN133" s="30">
        <v>24.15</v>
      </c>
      <c r="AO133" s="30">
        <v>23.1</v>
      </c>
      <c r="AP133" s="30">
        <v>19.8</v>
      </c>
      <c r="AQ133" s="30">
        <v>12.85</v>
      </c>
      <c r="AR133" s="30">
        <v>7.7</v>
      </c>
      <c r="AS133" s="30">
        <v>4.25</v>
      </c>
      <c r="AT133" s="30">
        <v>1.7</v>
      </c>
      <c r="AU133" s="30">
        <v>1.6</v>
      </c>
      <c r="AV133" s="30">
        <v>0.55000000000000004</v>
      </c>
      <c r="AW133" s="30">
        <v>0.3</v>
      </c>
      <c r="AX133" s="30">
        <v>0.1</v>
      </c>
      <c r="AY133" s="30">
        <v>0.05</v>
      </c>
      <c r="AZ133" s="30">
        <v>0.05</v>
      </c>
      <c r="BA133" s="30"/>
      <c r="BB133" s="30"/>
      <c r="BC133" s="30">
        <v>0.05</v>
      </c>
      <c r="BD133" s="30"/>
      <c r="BE133" s="30"/>
      <c r="BF133" s="30"/>
      <c r="BG133" s="30"/>
      <c r="BH133" s="30"/>
      <c r="BI133" s="30">
        <v>365.25</v>
      </c>
    </row>
    <row r="134" spans="3:61" x14ac:dyDescent="0.2">
      <c r="C134" s="144" t="s">
        <v>252</v>
      </c>
      <c r="D134" s="145" t="s">
        <v>253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0.1</v>
      </c>
      <c r="Q134" s="30">
        <v>0.25</v>
      </c>
      <c r="R134" s="30">
        <v>0.7</v>
      </c>
      <c r="S134" s="30">
        <v>1</v>
      </c>
      <c r="T134" s="30">
        <v>1.05</v>
      </c>
      <c r="U134" s="30">
        <v>2.15</v>
      </c>
      <c r="V134" s="30">
        <v>3.45</v>
      </c>
      <c r="W134" s="30">
        <v>4.1500000000000004</v>
      </c>
      <c r="X134" s="30">
        <v>6.1</v>
      </c>
      <c r="Y134" s="30">
        <v>5.95</v>
      </c>
      <c r="Z134" s="30">
        <v>7.65</v>
      </c>
      <c r="AA134" s="30">
        <v>8.65</v>
      </c>
      <c r="AB134" s="30">
        <v>12.3</v>
      </c>
      <c r="AC134" s="30">
        <v>14.25</v>
      </c>
      <c r="AD134" s="30">
        <v>17.5</v>
      </c>
      <c r="AE134" s="30">
        <v>18.55</v>
      </c>
      <c r="AF134" s="30">
        <v>20.05</v>
      </c>
      <c r="AG134" s="30">
        <v>18.3</v>
      </c>
      <c r="AH134" s="30">
        <v>18.7</v>
      </c>
      <c r="AI134" s="30">
        <v>17.350000000000001</v>
      </c>
      <c r="AJ134" s="30">
        <v>16.55</v>
      </c>
      <c r="AK134" s="30">
        <v>18.649999999999999</v>
      </c>
      <c r="AL134" s="30">
        <v>18.649999999999999</v>
      </c>
      <c r="AM134" s="30">
        <v>17.350000000000001</v>
      </c>
      <c r="AN134" s="30">
        <v>18.25</v>
      </c>
      <c r="AO134" s="30">
        <v>16.55</v>
      </c>
      <c r="AP134" s="30">
        <v>17.55</v>
      </c>
      <c r="AQ134" s="30">
        <v>13.35</v>
      </c>
      <c r="AR134" s="30">
        <v>11.55</v>
      </c>
      <c r="AS134" s="30">
        <v>9.4</v>
      </c>
      <c r="AT134" s="30">
        <v>7.4</v>
      </c>
      <c r="AU134" s="30">
        <v>7.2</v>
      </c>
      <c r="AV134" s="30">
        <v>5.55</v>
      </c>
      <c r="AW134" s="30">
        <v>3.35</v>
      </c>
      <c r="AX134" s="30">
        <v>2.2000000000000002</v>
      </c>
      <c r="AY134" s="30">
        <v>1.3</v>
      </c>
      <c r="AZ134" s="30">
        <v>0.8</v>
      </c>
      <c r="BA134" s="30">
        <v>0.55000000000000004</v>
      </c>
      <c r="BB134" s="30">
        <v>0.25</v>
      </c>
      <c r="BC134" s="30">
        <v>0.2</v>
      </c>
      <c r="BD134" s="30">
        <v>0.25</v>
      </c>
      <c r="BE134" s="30">
        <v>0.15</v>
      </c>
      <c r="BF134" s="30"/>
      <c r="BG134" s="30"/>
      <c r="BH134" s="30"/>
      <c r="BI134" s="30">
        <v>365.25</v>
      </c>
    </row>
    <row r="135" spans="3:61" x14ac:dyDescent="0.2">
      <c r="C135" s="144" t="s">
        <v>254</v>
      </c>
      <c r="D135" s="145" t="s">
        <v>255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0.17962598425196849</v>
      </c>
      <c r="T135" s="30">
        <v>0.29937664041994749</v>
      </c>
      <c r="U135" s="30">
        <v>1.2573818897637794</v>
      </c>
      <c r="V135" s="30">
        <v>1.1376312335958005</v>
      </c>
      <c r="W135" s="30">
        <v>1.4370078740157479</v>
      </c>
      <c r="X135" s="30">
        <v>1.9758858267716535</v>
      </c>
      <c r="Y135" s="30">
        <v>3.5326443569553807</v>
      </c>
      <c r="Z135" s="30">
        <v>4.1313976377952759</v>
      </c>
      <c r="AA135" s="30">
        <v>6.1671587926509179</v>
      </c>
      <c r="AB135" s="30">
        <v>7.1850393700787398</v>
      </c>
      <c r="AC135" s="30">
        <v>7.3646653543307083</v>
      </c>
      <c r="AD135" s="30">
        <v>11.915190288713912</v>
      </c>
      <c r="AE135" s="30">
        <v>12.334317585301836</v>
      </c>
      <c r="AF135" s="30">
        <v>17.663221784776905</v>
      </c>
      <c r="AG135" s="30">
        <v>16.944717847769027</v>
      </c>
      <c r="AH135" s="30">
        <v>19.459481627296586</v>
      </c>
      <c r="AI135" s="30">
        <v>20.237860892388451</v>
      </c>
      <c r="AJ135" s="30">
        <v>21.974245406824149</v>
      </c>
      <c r="AK135" s="30">
        <v>16.046587926509186</v>
      </c>
      <c r="AL135" s="30">
        <v>17.423720472440944</v>
      </c>
      <c r="AM135" s="30">
        <v>16.405839895013123</v>
      </c>
      <c r="AN135" s="30">
        <v>19.998359580052494</v>
      </c>
      <c r="AO135" s="30">
        <v>19.040354330708659</v>
      </c>
      <c r="AP135" s="30">
        <v>19.040354330708659</v>
      </c>
      <c r="AQ135" s="30">
        <v>18.920603674540683</v>
      </c>
      <c r="AR135" s="30">
        <v>18.561351706036746</v>
      </c>
      <c r="AS135" s="30">
        <v>16.405839895013123</v>
      </c>
      <c r="AT135" s="30">
        <v>14.429954068241468</v>
      </c>
      <c r="AU135" s="30">
        <v>10.837434383202099</v>
      </c>
      <c r="AV135" s="30">
        <v>8.2029199475065617</v>
      </c>
      <c r="AW135" s="30">
        <v>5.4486548556430447</v>
      </c>
      <c r="AX135" s="30">
        <v>3.8918963254593177</v>
      </c>
      <c r="AY135" s="30">
        <v>2.5746391076115485</v>
      </c>
      <c r="AZ135" s="30">
        <v>1.0777559055118111</v>
      </c>
      <c r="BA135" s="30">
        <v>1.0178805774278215</v>
      </c>
      <c r="BB135" s="30">
        <v>0.41912729658792652</v>
      </c>
      <c r="BC135" s="30">
        <v>5.9875328083989501E-2</v>
      </c>
      <c r="BD135" s="30"/>
      <c r="BE135" s="30"/>
      <c r="BF135" s="30"/>
      <c r="BG135" s="30"/>
      <c r="BH135" s="30"/>
      <c r="BI135" s="30">
        <v>365</v>
      </c>
    </row>
    <row r="136" spans="3:61" x14ac:dyDescent="0.2">
      <c r="C136" s="144" t="s">
        <v>256</v>
      </c>
      <c r="D136" s="145" t="s">
        <v>257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0.2</v>
      </c>
      <c r="P136" s="30">
        <v>0.1</v>
      </c>
      <c r="Q136" s="30">
        <v>0.45</v>
      </c>
      <c r="R136" s="30">
        <v>0.55000000000000004</v>
      </c>
      <c r="S136" s="30">
        <v>0.95</v>
      </c>
      <c r="T136" s="30">
        <v>1.7</v>
      </c>
      <c r="U136" s="30">
        <v>3.15</v>
      </c>
      <c r="V136" s="30">
        <v>3.45</v>
      </c>
      <c r="W136" s="30">
        <v>5.85</v>
      </c>
      <c r="X136" s="30">
        <v>7.35</v>
      </c>
      <c r="Y136" s="30">
        <v>9.15</v>
      </c>
      <c r="Z136" s="30">
        <v>10.1</v>
      </c>
      <c r="AA136" s="30">
        <v>11.4</v>
      </c>
      <c r="AB136" s="30">
        <v>10.45</v>
      </c>
      <c r="AC136" s="30">
        <v>14.1</v>
      </c>
      <c r="AD136" s="30">
        <v>15.2</v>
      </c>
      <c r="AE136" s="30">
        <v>13.8</v>
      </c>
      <c r="AF136" s="30">
        <v>16</v>
      </c>
      <c r="AG136" s="30">
        <v>17.350000000000001</v>
      </c>
      <c r="AH136" s="30">
        <v>17.8</v>
      </c>
      <c r="AI136" s="30">
        <v>15.7</v>
      </c>
      <c r="AJ136" s="30">
        <v>16.7</v>
      </c>
      <c r="AK136" s="30">
        <v>14.05</v>
      </c>
      <c r="AL136" s="30">
        <v>18.600000000000001</v>
      </c>
      <c r="AM136" s="30">
        <v>17</v>
      </c>
      <c r="AN136" s="30">
        <v>15.25</v>
      </c>
      <c r="AO136" s="30">
        <v>18.350000000000001</v>
      </c>
      <c r="AP136" s="30">
        <v>17.3</v>
      </c>
      <c r="AQ136" s="30">
        <v>15.45</v>
      </c>
      <c r="AR136" s="30">
        <v>12.95</v>
      </c>
      <c r="AS136" s="30">
        <v>11.2</v>
      </c>
      <c r="AT136" s="30">
        <v>10.7</v>
      </c>
      <c r="AU136" s="30">
        <v>8.75</v>
      </c>
      <c r="AV136" s="30">
        <v>6.4</v>
      </c>
      <c r="AW136" s="30">
        <v>3.4</v>
      </c>
      <c r="AX136" s="30">
        <v>2.35</v>
      </c>
      <c r="AY136" s="30">
        <v>0.85</v>
      </c>
      <c r="AZ136" s="30">
        <v>0.7</v>
      </c>
      <c r="BA136" s="30">
        <v>0.25</v>
      </c>
      <c r="BB136" s="30">
        <v>0.15</v>
      </c>
      <c r="BC136" s="30">
        <v>0.05</v>
      </c>
      <c r="BD136" s="30"/>
      <c r="BE136" s="30"/>
      <c r="BF136" s="30"/>
      <c r="BG136" s="30"/>
      <c r="BH136" s="30"/>
      <c r="BI136" s="30">
        <v>365.25</v>
      </c>
    </row>
    <row r="137" spans="3:61" x14ac:dyDescent="0.2">
      <c r="C137" s="144" t="s">
        <v>258</v>
      </c>
      <c r="D137" s="145" t="s">
        <v>259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5.0372619376207566E-2</v>
      </c>
      <c r="U137" s="30">
        <v>5.0372619376207566E-2</v>
      </c>
      <c r="V137" s="30">
        <v>0.40298095500966052</v>
      </c>
      <c r="W137" s="30">
        <v>0.65484405189069839</v>
      </c>
      <c r="X137" s="30">
        <v>1.4608059619100193</v>
      </c>
      <c r="Y137" s="30">
        <v>2.2667678719293405</v>
      </c>
      <c r="Z137" s="30">
        <v>4.1809274082252275</v>
      </c>
      <c r="AA137" s="30">
        <v>5.1883797957493787</v>
      </c>
      <c r="AB137" s="30">
        <v>8.8655810102125301</v>
      </c>
      <c r="AC137" s="30">
        <v>12.290919127794645</v>
      </c>
      <c r="AD137" s="30">
        <v>14.255451283466741</v>
      </c>
      <c r="AE137" s="30">
        <v>16.018492961634003</v>
      </c>
      <c r="AF137" s="30">
        <v>18.083770356058515</v>
      </c>
      <c r="AG137" s="30">
        <v>16.673337013524705</v>
      </c>
      <c r="AH137" s="30">
        <v>17.378553684791608</v>
      </c>
      <c r="AI137" s="30">
        <v>18.738614407949211</v>
      </c>
      <c r="AJ137" s="30">
        <v>16.622964394148497</v>
      </c>
      <c r="AK137" s="30">
        <v>17.3281810654154</v>
      </c>
      <c r="AL137" s="30">
        <v>16.018492961634003</v>
      </c>
      <c r="AM137" s="30">
        <v>13.902842947833287</v>
      </c>
      <c r="AN137" s="30">
        <v>14.507314380347777</v>
      </c>
      <c r="AO137" s="30">
        <v>17.025945349158157</v>
      </c>
      <c r="AP137" s="30">
        <v>17.781534639801272</v>
      </c>
      <c r="AQ137" s="30">
        <v>15.867375103505381</v>
      </c>
      <c r="AR137" s="30">
        <v>14.960667954733648</v>
      </c>
      <c r="AS137" s="30">
        <v>15.464394148495723</v>
      </c>
      <c r="AT137" s="30">
        <v>13.24799889594259</v>
      </c>
      <c r="AU137" s="30">
        <v>12.59315484405189</v>
      </c>
      <c r="AV137" s="30">
        <v>11.988683411537401</v>
      </c>
      <c r="AW137" s="30">
        <v>10.427132210874966</v>
      </c>
      <c r="AX137" s="30">
        <v>9.6715429202318521</v>
      </c>
      <c r="AY137" s="30">
        <v>6.9514214739166436</v>
      </c>
      <c r="AZ137" s="30">
        <v>2.317140491305548</v>
      </c>
      <c r="BA137" s="30">
        <v>0.95707976814794371</v>
      </c>
      <c r="BB137" s="30">
        <v>0.45335357438586804</v>
      </c>
      <c r="BC137" s="30">
        <v>0.30223571625724538</v>
      </c>
      <c r="BD137" s="30"/>
      <c r="BE137" s="30">
        <v>5.0372619376207566E-2</v>
      </c>
      <c r="BF137" s="30"/>
      <c r="BG137" s="30"/>
      <c r="BH137" s="30"/>
      <c r="BI137" s="30">
        <v>365</v>
      </c>
    </row>
    <row r="138" spans="3:61" x14ac:dyDescent="0.2">
      <c r="C138" s="144" t="s">
        <v>260</v>
      </c>
      <c r="D138" s="145" t="s">
        <v>261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0.1</v>
      </c>
      <c r="O138" s="30">
        <v>0</v>
      </c>
      <c r="P138" s="30">
        <v>0.05</v>
      </c>
      <c r="Q138" s="30">
        <v>0.1</v>
      </c>
      <c r="R138" s="30">
        <v>0.25</v>
      </c>
      <c r="S138" s="30">
        <v>0.45</v>
      </c>
      <c r="T138" s="30">
        <v>0.8</v>
      </c>
      <c r="U138" s="30">
        <v>1.25</v>
      </c>
      <c r="V138" s="30">
        <v>2.6</v>
      </c>
      <c r="W138" s="30">
        <v>3.9</v>
      </c>
      <c r="X138" s="30">
        <v>4.7</v>
      </c>
      <c r="Y138" s="30">
        <v>6.2</v>
      </c>
      <c r="Z138" s="30">
        <v>8.1999999999999993</v>
      </c>
      <c r="AA138" s="30">
        <v>8.6999999999999993</v>
      </c>
      <c r="AB138" s="30">
        <v>13</v>
      </c>
      <c r="AC138" s="30">
        <v>13.75</v>
      </c>
      <c r="AD138" s="30">
        <v>14.6</v>
      </c>
      <c r="AE138" s="30">
        <v>18.350000000000001</v>
      </c>
      <c r="AF138" s="30">
        <v>20.95</v>
      </c>
      <c r="AG138" s="30">
        <v>21.9</v>
      </c>
      <c r="AH138" s="30">
        <v>20.100000000000001</v>
      </c>
      <c r="AI138" s="30">
        <v>19.149999999999999</v>
      </c>
      <c r="AJ138" s="30">
        <v>18.649999999999999</v>
      </c>
      <c r="AK138" s="30">
        <v>19.5</v>
      </c>
      <c r="AL138" s="30">
        <v>19.8</v>
      </c>
      <c r="AM138" s="30">
        <v>18.8</v>
      </c>
      <c r="AN138" s="30">
        <v>20.45</v>
      </c>
      <c r="AO138" s="30">
        <v>19.95</v>
      </c>
      <c r="AP138" s="30">
        <v>18.25</v>
      </c>
      <c r="AQ138" s="30">
        <v>14.1</v>
      </c>
      <c r="AR138" s="30">
        <v>11.7</v>
      </c>
      <c r="AS138" s="30">
        <v>8.1999999999999993</v>
      </c>
      <c r="AT138" s="30">
        <v>6.4</v>
      </c>
      <c r="AU138" s="30">
        <v>3.7</v>
      </c>
      <c r="AV138" s="30">
        <v>3.15</v>
      </c>
      <c r="AW138" s="30">
        <v>1.3</v>
      </c>
      <c r="AX138" s="30">
        <v>1.1499999999999999</v>
      </c>
      <c r="AY138" s="30">
        <v>0.3</v>
      </c>
      <c r="AZ138" s="30">
        <v>0.35</v>
      </c>
      <c r="BA138" s="30">
        <v>0.3</v>
      </c>
      <c r="BB138" s="30">
        <v>0.05</v>
      </c>
      <c r="BC138" s="30"/>
      <c r="BD138" s="30">
        <v>0.05</v>
      </c>
      <c r="BE138" s="30"/>
      <c r="BF138" s="30"/>
      <c r="BG138" s="30"/>
      <c r="BH138" s="30"/>
      <c r="BI138" s="30">
        <v>365.25</v>
      </c>
    </row>
    <row r="139" spans="3:61" x14ac:dyDescent="0.2">
      <c r="C139" s="144" t="s">
        <v>262</v>
      </c>
      <c r="D139" s="145" t="s">
        <v>263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0.1</v>
      </c>
      <c r="P139" s="30">
        <v>0.1</v>
      </c>
      <c r="Q139" s="30">
        <v>0</v>
      </c>
      <c r="R139" s="30">
        <v>0.3</v>
      </c>
      <c r="S139" s="30">
        <v>0.5</v>
      </c>
      <c r="T139" s="30">
        <v>0.7</v>
      </c>
      <c r="U139" s="30">
        <v>1.2</v>
      </c>
      <c r="V139" s="30">
        <v>2.6</v>
      </c>
      <c r="W139" s="30">
        <v>3.85</v>
      </c>
      <c r="X139" s="30">
        <v>5</v>
      </c>
      <c r="Y139" s="30">
        <v>6.2</v>
      </c>
      <c r="Z139" s="30">
        <v>7.75</v>
      </c>
      <c r="AA139" s="30">
        <v>9.9</v>
      </c>
      <c r="AB139" s="30">
        <v>11.7</v>
      </c>
      <c r="AC139" s="30">
        <v>12.5</v>
      </c>
      <c r="AD139" s="30">
        <v>16.2</v>
      </c>
      <c r="AE139" s="30">
        <v>18.100000000000001</v>
      </c>
      <c r="AF139" s="30">
        <v>19.8</v>
      </c>
      <c r="AG139" s="30">
        <v>19.850000000000001</v>
      </c>
      <c r="AH139" s="30">
        <v>20.2</v>
      </c>
      <c r="AI139" s="30">
        <v>16.95</v>
      </c>
      <c r="AJ139" s="30">
        <v>17.95</v>
      </c>
      <c r="AK139" s="30">
        <v>18.649999999999999</v>
      </c>
      <c r="AL139" s="30">
        <v>18.649999999999999</v>
      </c>
      <c r="AM139" s="30">
        <v>17.05</v>
      </c>
      <c r="AN139" s="30">
        <v>19.649999999999999</v>
      </c>
      <c r="AO139" s="30">
        <v>19</v>
      </c>
      <c r="AP139" s="30">
        <v>16.7</v>
      </c>
      <c r="AQ139" s="30">
        <v>15.75</v>
      </c>
      <c r="AR139" s="30">
        <v>14.75</v>
      </c>
      <c r="AS139" s="30">
        <v>10.15</v>
      </c>
      <c r="AT139" s="30">
        <v>7.4</v>
      </c>
      <c r="AU139" s="30">
        <v>5.95</v>
      </c>
      <c r="AV139" s="30">
        <v>4.3499999999999996</v>
      </c>
      <c r="AW139" s="30">
        <v>2.9</v>
      </c>
      <c r="AX139" s="30">
        <v>1.6</v>
      </c>
      <c r="AY139" s="30">
        <v>0.45</v>
      </c>
      <c r="AZ139" s="30">
        <v>0.3</v>
      </c>
      <c r="BA139" s="30">
        <v>0.2</v>
      </c>
      <c r="BB139" s="30">
        <v>0.15</v>
      </c>
      <c r="BC139" s="30">
        <v>0.15</v>
      </c>
      <c r="BD139" s="30"/>
      <c r="BE139" s="30"/>
      <c r="BF139" s="30"/>
      <c r="BG139" s="30"/>
      <c r="BH139" s="30"/>
      <c r="BI139" s="30">
        <v>365.25</v>
      </c>
    </row>
    <row r="140" spans="3:61" x14ac:dyDescent="0.2">
      <c r="C140" s="144" t="s">
        <v>264</v>
      </c>
      <c r="D140" s="145" t="s">
        <v>265</v>
      </c>
      <c r="E140" s="30">
        <v>0</v>
      </c>
      <c r="F140" s="30">
        <v>0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0.1</v>
      </c>
      <c r="U140" s="30">
        <v>0.05</v>
      </c>
      <c r="V140" s="30">
        <v>0.2</v>
      </c>
      <c r="W140" s="30">
        <v>0.15</v>
      </c>
      <c r="X140" s="30">
        <v>1</v>
      </c>
      <c r="Y140" s="30">
        <v>1.35</v>
      </c>
      <c r="Z140" s="30">
        <v>3.65</v>
      </c>
      <c r="AA140" s="30">
        <v>3.15</v>
      </c>
      <c r="AB140" s="30">
        <v>6.05</v>
      </c>
      <c r="AC140" s="30">
        <v>9.5</v>
      </c>
      <c r="AD140" s="30">
        <v>12.25</v>
      </c>
      <c r="AE140" s="30">
        <v>15.35</v>
      </c>
      <c r="AF140" s="30">
        <v>22.1</v>
      </c>
      <c r="AG140" s="30">
        <v>27.6</v>
      </c>
      <c r="AH140" s="30">
        <v>30.05</v>
      </c>
      <c r="AI140" s="30">
        <v>30.5</v>
      </c>
      <c r="AJ140" s="30">
        <v>28.65</v>
      </c>
      <c r="AK140" s="30">
        <v>24.1</v>
      </c>
      <c r="AL140" s="30">
        <v>22.9</v>
      </c>
      <c r="AM140" s="30">
        <v>27.15</v>
      </c>
      <c r="AN140" s="30">
        <v>28.05</v>
      </c>
      <c r="AO140" s="30">
        <v>25.7</v>
      </c>
      <c r="AP140" s="30">
        <v>18.850000000000001</v>
      </c>
      <c r="AQ140" s="30">
        <v>11.65</v>
      </c>
      <c r="AR140" s="30">
        <v>6.75</v>
      </c>
      <c r="AS140" s="30">
        <v>3.85</v>
      </c>
      <c r="AT140" s="30">
        <v>2.6</v>
      </c>
      <c r="AU140" s="30">
        <v>1.05</v>
      </c>
      <c r="AV140" s="30">
        <v>0.35</v>
      </c>
      <c r="AW140" s="30">
        <v>0.4</v>
      </c>
      <c r="AX140" s="30"/>
      <c r="AY140" s="30">
        <v>0.05</v>
      </c>
      <c r="AZ140" s="30">
        <v>0.1</v>
      </c>
      <c r="BA140" s="30"/>
      <c r="BB140" s="30"/>
      <c r="BC140" s="30"/>
      <c r="BD140" s="30"/>
      <c r="BE140" s="30"/>
      <c r="BF140" s="30"/>
      <c r="BG140" s="30"/>
      <c r="BH140" s="30"/>
      <c r="BI140" s="30">
        <v>365.25</v>
      </c>
    </row>
    <row r="141" spans="3:61" x14ac:dyDescent="0.2">
      <c r="C141" s="144" t="s">
        <v>266</v>
      </c>
      <c r="D141" s="145" t="s">
        <v>267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0.05</v>
      </c>
      <c r="V141" s="30">
        <v>0.1</v>
      </c>
      <c r="W141" s="30">
        <v>0.2</v>
      </c>
      <c r="X141" s="30">
        <v>0.95</v>
      </c>
      <c r="Y141" s="30">
        <v>1.25</v>
      </c>
      <c r="Z141" s="30">
        <v>1.8</v>
      </c>
      <c r="AA141" s="30">
        <v>3.7</v>
      </c>
      <c r="AB141" s="30">
        <v>5.8</v>
      </c>
      <c r="AC141" s="30">
        <v>8.1</v>
      </c>
      <c r="AD141" s="30">
        <v>9.9</v>
      </c>
      <c r="AE141" s="30">
        <v>12.25</v>
      </c>
      <c r="AF141" s="30">
        <v>13.95</v>
      </c>
      <c r="AG141" s="30">
        <v>16.75</v>
      </c>
      <c r="AH141" s="30">
        <v>18.05</v>
      </c>
      <c r="AI141" s="30">
        <v>19.100000000000001</v>
      </c>
      <c r="AJ141" s="30">
        <v>17.399999999999999</v>
      </c>
      <c r="AK141" s="30">
        <v>18</v>
      </c>
      <c r="AL141" s="30">
        <v>18.399999999999999</v>
      </c>
      <c r="AM141" s="30">
        <v>14.7</v>
      </c>
      <c r="AN141" s="30">
        <v>13.15</v>
      </c>
      <c r="AO141" s="30">
        <v>15.1</v>
      </c>
      <c r="AP141" s="30">
        <v>16</v>
      </c>
      <c r="AQ141" s="30">
        <v>16.05</v>
      </c>
      <c r="AR141" s="30">
        <v>16.600000000000001</v>
      </c>
      <c r="AS141" s="30">
        <v>14.2</v>
      </c>
      <c r="AT141" s="30">
        <v>14.5</v>
      </c>
      <c r="AU141" s="30">
        <v>14.25</v>
      </c>
      <c r="AV141" s="30">
        <v>15</v>
      </c>
      <c r="AW141" s="30">
        <v>11.5</v>
      </c>
      <c r="AX141" s="30">
        <v>12.65</v>
      </c>
      <c r="AY141" s="30">
        <v>10.15</v>
      </c>
      <c r="AZ141" s="30">
        <v>7.85</v>
      </c>
      <c r="BA141" s="30">
        <v>4.1500000000000004</v>
      </c>
      <c r="BB141" s="30">
        <v>2.35</v>
      </c>
      <c r="BC141" s="30">
        <v>1.1000000000000001</v>
      </c>
      <c r="BD141" s="30">
        <v>0.2</v>
      </c>
      <c r="BE141" s="30"/>
      <c r="BF141" s="30"/>
      <c r="BG141" s="30"/>
      <c r="BH141" s="30"/>
      <c r="BI141" s="30">
        <v>365.25</v>
      </c>
    </row>
    <row r="142" spans="3:61" x14ac:dyDescent="0.2">
      <c r="C142" s="144" t="s">
        <v>268</v>
      </c>
      <c r="D142" s="145" t="s">
        <v>508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0.1</v>
      </c>
      <c r="U142" s="30">
        <v>0.5</v>
      </c>
      <c r="V142" s="30">
        <v>0.8</v>
      </c>
      <c r="W142" s="30">
        <v>1.7</v>
      </c>
      <c r="X142" s="30">
        <v>1.8</v>
      </c>
      <c r="Y142" s="30">
        <v>2.65</v>
      </c>
      <c r="Z142" s="30">
        <v>5.45</v>
      </c>
      <c r="AA142" s="30">
        <v>5.9</v>
      </c>
      <c r="AB142" s="30">
        <v>6.6</v>
      </c>
      <c r="AC142" s="30">
        <v>8.25</v>
      </c>
      <c r="AD142" s="30">
        <v>9.9499999999999993</v>
      </c>
      <c r="AE142" s="30">
        <v>14.25</v>
      </c>
      <c r="AF142" s="30">
        <v>15.1</v>
      </c>
      <c r="AG142" s="30">
        <v>17.75</v>
      </c>
      <c r="AH142" s="30">
        <v>19.3</v>
      </c>
      <c r="AI142" s="30">
        <v>20.85</v>
      </c>
      <c r="AJ142" s="30">
        <v>18.2</v>
      </c>
      <c r="AK142" s="30">
        <v>19.399999999999999</v>
      </c>
      <c r="AL142" s="30">
        <v>16.899999999999999</v>
      </c>
      <c r="AM142" s="30">
        <v>15.8</v>
      </c>
      <c r="AN142" s="30">
        <v>14.95</v>
      </c>
      <c r="AO142" s="30">
        <v>15.75</v>
      </c>
      <c r="AP142" s="30">
        <v>17.649999999999999</v>
      </c>
      <c r="AQ142" s="30">
        <v>16.7</v>
      </c>
      <c r="AR142" s="30">
        <v>16.3</v>
      </c>
      <c r="AS142" s="30">
        <v>16.7</v>
      </c>
      <c r="AT142" s="30">
        <v>14.25</v>
      </c>
      <c r="AU142" s="30">
        <v>12.8</v>
      </c>
      <c r="AV142" s="30">
        <v>12.55</v>
      </c>
      <c r="AW142" s="30">
        <v>9.1999999999999993</v>
      </c>
      <c r="AX142" s="30">
        <v>7.05</v>
      </c>
      <c r="AY142" s="30">
        <v>4.45</v>
      </c>
      <c r="AZ142" s="30">
        <v>3.45</v>
      </c>
      <c r="BA142" s="30">
        <v>1.25</v>
      </c>
      <c r="BB142" s="30">
        <v>0.4</v>
      </c>
      <c r="BC142" s="30">
        <v>0.35</v>
      </c>
      <c r="BD142" s="30">
        <v>0.2</v>
      </c>
      <c r="BE142" s="30"/>
      <c r="BF142" s="30"/>
      <c r="BG142" s="30"/>
      <c r="BH142" s="30"/>
      <c r="BI142" s="30">
        <v>365.25</v>
      </c>
    </row>
    <row r="143" spans="3:61" x14ac:dyDescent="0.2">
      <c r="C143" s="144" t="s">
        <v>509</v>
      </c>
      <c r="D143" s="145" t="s">
        <v>510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0.2</v>
      </c>
      <c r="T143" s="30">
        <v>0.35</v>
      </c>
      <c r="U143" s="30">
        <v>0.5</v>
      </c>
      <c r="V143" s="30">
        <v>1.35</v>
      </c>
      <c r="W143" s="30">
        <v>1.5</v>
      </c>
      <c r="X143" s="30">
        <v>2.35</v>
      </c>
      <c r="Y143" s="30">
        <v>3.6</v>
      </c>
      <c r="Z143" s="30">
        <v>4.7</v>
      </c>
      <c r="AA143" s="30">
        <v>6.55</v>
      </c>
      <c r="AB143" s="30">
        <v>7.75</v>
      </c>
      <c r="AC143" s="30">
        <v>9.9499999999999993</v>
      </c>
      <c r="AD143" s="30">
        <v>12.45</v>
      </c>
      <c r="AE143" s="30">
        <v>15.6</v>
      </c>
      <c r="AF143" s="30">
        <v>16.8</v>
      </c>
      <c r="AG143" s="30">
        <v>18.350000000000001</v>
      </c>
      <c r="AH143" s="30">
        <v>19.55</v>
      </c>
      <c r="AI143" s="30">
        <v>21.7</v>
      </c>
      <c r="AJ143" s="30">
        <v>17.45</v>
      </c>
      <c r="AK143" s="30">
        <v>17.8</v>
      </c>
      <c r="AL143" s="30">
        <v>16.45</v>
      </c>
      <c r="AM143" s="30">
        <v>16.2</v>
      </c>
      <c r="AN143" s="30">
        <v>16.3</v>
      </c>
      <c r="AO143" s="30">
        <v>18</v>
      </c>
      <c r="AP143" s="30">
        <v>18.149999999999999</v>
      </c>
      <c r="AQ143" s="30">
        <v>16.850000000000001</v>
      </c>
      <c r="AR143" s="30">
        <v>16.8</v>
      </c>
      <c r="AS143" s="30">
        <v>15.6</v>
      </c>
      <c r="AT143" s="30">
        <v>13.8</v>
      </c>
      <c r="AU143" s="30">
        <v>12.95</v>
      </c>
      <c r="AV143" s="30">
        <v>9.5500000000000007</v>
      </c>
      <c r="AW143" s="30">
        <v>7</v>
      </c>
      <c r="AX143" s="30">
        <v>4.55</v>
      </c>
      <c r="AY143" s="30">
        <v>2.4500000000000002</v>
      </c>
      <c r="AZ143" s="30">
        <v>1.1499999999999999</v>
      </c>
      <c r="BA143" s="30">
        <v>0.65</v>
      </c>
      <c r="BB143" s="30">
        <v>0.1</v>
      </c>
      <c r="BC143" s="30">
        <v>0.2</v>
      </c>
      <c r="BD143" s="30"/>
      <c r="BE143" s="30"/>
      <c r="BF143" s="30"/>
      <c r="BG143" s="30"/>
      <c r="BH143" s="30"/>
      <c r="BI143" s="30">
        <v>365.25</v>
      </c>
    </row>
    <row r="144" spans="3:61" x14ac:dyDescent="0.2">
      <c r="C144" s="144" t="s">
        <v>511</v>
      </c>
      <c r="D144" s="145" t="s">
        <v>512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0.15</v>
      </c>
      <c r="U144" s="30">
        <v>0.25</v>
      </c>
      <c r="V144" s="30">
        <v>0.6</v>
      </c>
      <c r="W144" s="30">
        <v>1.55</v>
      </c>
      <c r="X144" s="30">
        <v>1.75</v>
      </c>
      <c r="Y144" s="30">
        <v>2.25</v>
      </c>
      <c r="Z144" s="30">
        <v>3.4</v>
      </c>
      <c r="AA144" s="30">
        <v>4.5</v>
      </c>
      <c r="AB144" s="30">
        <v>6.95</v>
      </c>
      <c r="AC144" s="30">
        <v>7</v>
      </c>
      <c r="AD144" s="30">
        <v>8.85</v>
      </c>
      <c r="AE144" s="30">
        <v>11.35</v>
      </c>
      <c r="AF144" s="30">
        <v>12.5</v>
      </c>
      <c r="AG144" s="30">
        <v>17.2</v>
      </c>
      <c r="AH144" s="30">
        <v>18.55</v>
      </c>
      <c r="AI144" s="30">
        <v>22.15</v>
      </c>
      <c r="AJ144" s="30">
        <v>22</v>
      </c>
      <c r="AK144" s="30">
        <v>20.399999999999999</v>
      </c>
      <c r="AL144" s="30">
        <v>18.45</v>
      </c>
      <c r="AM144" s="30">
        <v>18.55</v>
      </c>
      <c r="AN144" s="30">
        <v>18</v>
      </c>
      <c r="AO144" s="30">
        <v>19.149999999999999</v>
      </c>
      <c r="AP144" s="30">
        <v>18.649999999999999</v>
      </c>
      <c r="AQ144" s="30">
        <v>17.850000000000001</v>
      </c>
      <c r="AR144" s="30">
        <v>19</v>
      </c>
      <c r="AS144" s="30">
        <v>17.25</v>
      </c>
      <c r="AT144" s="30">
        <v>16.149999999999999</v>
      </c>
      <c r="AU144" s="30">
        <v>12.15</v>
      </c>
      <c r="AV144" s="30">
        <v>9.35</v>
      </c>
      <c r="AW144" s="30">
        <v>7.15</v>
      </c>
      <c r="AX144" s="30">
        <v>4.5999999999999996</v>
      </c>
      <c r="AY144" s="30">
        <v>3.4</v>
      </c>
      <c r="AZ144" s="30">
        <v>2.1</v>
      </c>
      <c r="BA144" s="30">
        <v>0.9</v>
      </c>
      <c r="BB144" s="30">
        <v>0.75</v>
      </c>
      <c r="BC144" s="30">
        <v>0.25</v>
      </c>
      <c r="BD144" s="30">
        <v>0.15</v>
      </c>
      <c r="BE144" s="30"/>
      <c r="BF144" s="30"/>
      <c r="BG144" s="30"/>
      <c r="BH144" s="30"/>
      <c r="BI144" s="30">
        <v>365.25</v>
      </c>
    </row>
    <row r="145" spans="3:61" x14ac:dyDescent="0.2">
      <c r="C145" s="144" t="s">
        <v>513</v>
      </c>
      <c r="D145" s="145" t="s">
        <v>514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0.15</v>
      </c>
      <c r="W145" s="30">
        <v>0.2</v>
      </c>
      <c r="X145" s="30">
        <v>0.5</v>
      </c>
      <c r="Y145" s="30">
        <v>1.45</v>
      </c>
      <c r="Z145" s="30">
        <v>1.2</v>
      </c>
      <c r="AA145" s="30">
        <v>3.15</v>
      </c>
      <c r="AB145" s="30">
        <v>4.55</v>
      </c>
      <c r="AC145" s="30">
        <v>7.95</v>
      </c>
      <c r="AD145" s="30">
        <v>8.5</v>
      </c>
      <c r="AE145" s="30">
        <v>11.3</v>
      </c>
      <c r="AF145" s="30">
        <v>13.65</v>
      </c>
      <c r="AG145" s="30">
        <v>16.05</v>
      </c>
      <c r="AH145" s="30">
        <v>16.399999999999999</v>
      </c>
      <c r="AI145" s="30">
        <v>19.149999999999999</v>
      </c>
      <c r="AJ145" s="30">
        <v>21.2</v>
      </c>
      <c r="AK145" s="30">
        <v>17.8</v>
      </c>
      <c r="AL145" s="30">
        <v>18.350000000000001</v>
      </c>
      <c r="AM145" s="30">
        <v>16.7</v>
      </c>
      <c r="AN145" s="30">
        <v>14.65</v>
      </c>
      <c r="AO145" s="30">
        <v>16.100000000000001</v>
      </c>
      <c r="AP145" s="30">
        <v>17.75</v>
      </c>
      <c r="AQ145" s="30">
        <v>16.899999999999999</v>
      </c>
      <c r="AR145" s="30">
        <v>16.600000000000001</v>
      </c>
      <c r="AS145" s="30">
        <v>16.399999999999999</v>
      </c>
      <c r="AT145" s="30">
        <v>16.149999999999999</v>
      </c>
      <c r="AU145" s="30">
        <v>15.7</v>
      </c>
      <c r="AV145" s="30">
        <v>16.05</v>
      </c>
      <c r="AW145" s="30">
        <v>13.5</v>
      </c>
      <c r="AX145" s="30">
        <v>10.65</v>
      </c>
      <c r="AY145" s="30">
        <v>8.15</v>
      </c>
      <c r="AZ145" s="30">
        <v>5.65</v>
      </c>
      <c r="BA145" s="30">
        <v>1.8</v>
      </c>
      <c r="BB145" s="30">
        <v>0.8</v>
      </c>
      <c r="BC145" s="30">
        <v>0.15</v>
      </c>
      <c r="BD145" s="30"/>
      <c r="BE145" s="30"/>
      <c r="BF145" s="30"/>
      <c r="BG145" s="30"/>
      <c r="BH145" s="30"/>
      <c r="BI145" s="30">
        <v>365.25</v>
      </c>
    </row>
    <row r="146" spans="3:61" x14ac:dyDescent="0.2">
      <c r="C146" s="144" t="s">
        <v>122</v>
      </c>
      <c r="D146" s="145" t="s">
        <v>123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0.05</v>
      </c>
      <c r="R146" s="30">
        <v>0.05</v>
      </c>
      <c r="S146" s="30">
        <v>0.1</v>
      </c>
      <c r="T146" s="30">
        <v>0</v>
      </c>
      <c r="U146" s="30">
        <v>0.25</v>
      </c>
      <c r="V146" s="30">
        <v>0.55000000000000004</v>
      </c>
      <c r="W146" s="30">
        <v>1.4</v>
      </c>
      <c r="X146" s="30">
        <v>1.95</v>
      </c>
      <c r="Y146" s="30">
        <v>3.45</v>
      </c>
      <c r="Z146" s="30">
        <v>3.95</v>
      </c>
      <c r="AA146" s="30">
        <v>5.7</v>
      </c>
      <c r="AB146" s="30">
        <v>7.7</v>
      </c>
      <c r="AC146" s="30">
        <v>8.9</v>
      </c>
      <c r="AD146" s="30">
        <v>12.35</v>
      </c>
      <c r="AE146" s="30">
        <v>17.3</v>
      </c>
      <c r="AF146" s="30">
        <v>20.85</v>
      </c>
      <c r="AG146" s="30">
        <v>23.3</v>
      </c>
      <c r="AH146" s="30">
        <v>26.1</v>
      </c>
      <c r="AI146" s="30">
        <v>25.45</v>
      </c>
      <c r="AJ146" s="30">
        <v>22.95</v>
      </c>
      <c r="AK146" s="30">
        <v>22.5</v>
      </c>
      <c r="AL146" s="30">
        <v>22.8</v>
      </c>
      <c r="AM146" s="30">
        <v>24.3</v>
      </c>
      <c r="AN146" s="30">
        <v>25.5</v>
      </c>
      <c r="AO146" s="30">
        <v>23.9</v>
      </c>
      <c r="AP146" s="30">
        <v>22.4</v>
      </c>
      <c r="AQ146" s="30">
        <v>16.2</v>
      </c>
      <c r="AR146" s="30">
        <v>10.85</v>
      </c>
      <c r="AS146" s="30">
        <v>6.05</v>
      </c>
      <c r="AT146" s="30">
        <v>4.05</v>
      </c>
      <c r="AU146" s="30">
        <v>2.2999999999999998</v>
      </c>
      <c r="AV146" s="30">
        <v>1</v>
      </c>
      <c r="AW146" s="30">
        <v>0.65</v>
      </c>
      <c r="AX146" s="30">
        <v>0.2</v>
      </c>
      <c r="AY146" s="30">
        <v>0.1</v>
      </c>
      <c r="AZ146" s="30">
        <v>0.05</v>
      </c>
      <c r="BA146" s="30"/>
      <c r="BB146" s="30"/>
      <c r="BC146" s="30">
        <v>0.05</v>
      </c>
      <c r="BD146" s="30"/>
      <c r="BE146" s="30"/>
      <c r="BF146" s="30"/>
      <c r="BG146" s="30"/>
      <c r="BH146" s="30"/>
      <c r="BI146" s="30">
        <v>365.25</v>
      </c>
    </row>
    <row r="147" spans="3:61" x14ac:dyDescent="0.2">
      <c r="C147" s="144" t="s">
        <v>124</v>
      </c>
      <c r="D147" s="145" t="s">
        <v>125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0.1</v>
      </c>
      <c r="Q147" s="30">
        <v>0.3</v>
      </c>
      <c r="R147" s="30">
        <v>0.15</v>
      </c>
      <c r="S147" s="30">
        <v>0.4</v>
      </c>
      <c r="T147" s="30">
        <v>0.9</v>
      </c>
      <c r="U147" s="30">
        <v>1.25</v>
      </c>
      <c r="V147" s="30">
        <v>1.95</v>
      </c>
      <c r="W147" s="30">
        <v>3.45</v>
      </c>
      <c r="X147" s="30">
        <v>4.6500000000000004</v>
      </c>
      <c r="Y147" s="30">
        <v>5.75</v>
      </c>
      <c r="Z147" s="30">
        <v>7.55</v>
      </c>
      <c r="AA147" s="30">
        <v>7.7</v>
      </c>
      <c r="AB147" s="30">
        <v>10.4</v>
      </c>
      <c r="AC147" s="30">
        <v>11.6</v>
      </c>
      <c r="AD147" s="30">
        <v>13.95</v>
      </c>
      <c r="AE147" s="30">
        <v>15.8</v>
      </c>
      <c r="AF147" s="30">
        <v>16.25</v>
      </c>
      <c r="AG147" s="30">
        <v>20.9</v>
      </c>
      <c r="AH147" s="30">
        <v>18.45</v>
      </c>
      <c r="AI147" s="30">
        <v>19.600000000000001</v>
      </c>
      <c r="AJ147" s="30">
        <v>17.899999999999999</v>
      </c>
      <c r="AK147" s="30">
        <v>16.600000000000001</v>
      </c>
      <c r="AL147" s="30">
        <v>17.7</v>
      </c>
      <c r="AM147" s="30">
        <v>18.2</v>
      </c>
      <c r="AN147" s="30">
        <v>17.100000000000001</v>
      </c>
      <c r="AO147" s="30">
        <v>18.95</v>
      </c>
      <c r="AP147" s="30">
        <v>17.350000000000001</v>
      </c>
      <c r="AQ147" s="30">
        <v>17.399999999999999</v>
      </c>
      <c r="AR147" s="30">
        <v>16</v>
      </c>
      <c r="AS147" s="30">
        <v>10.9</v>
      </c>
      <c r="AT147" s="30">
        <v>11.05</v>
      </c>
      <c r="AU147" s="30">
        <v>8.0500000000000007</v>
      </c>
      <c r="AV147" s="30">
        <v>6.6</v>
      </c>
      <c r="AW147" s="30">
        <v>4.8</v>
      </c>
      <c r="AX147" s="30">
        <v>2.2999999999999998</v>
      </c>
      <c r="AY147" s="30">
        <v>1.6</v>
      </c>
      <c r="AZ147" s="30">
        <v>0.55000000000000004</v>
      </c>
      <c r="BA147" s="30">
        <v>0.5</v>
      </c>
      <c r="BB147" s="30">
        <v>0.2</v>
      </c>
      <c r="BC147" s="30">
        <v>0.3</v>
      </c>
      <c r="BD147" s="30">
        <v>0.1</v>
      </c>
      <c r="BE147" s="30"/>
      <c r="BF147" s="30"/>
      <c r="BG147" s="30"/>
      <c r="BH147" s="30"/>
      <c r="BI147" s="30">
        <v>365.25</v>
      </c>
    </row>
    <row r="148" spans="3:61" x14ac:dyDescent="0.2">
      <c r="C148" s="144" t="s">
        <v>126</v>
      </c>
      <c r="D148" s="145" t="s">
        <v>127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0.2</v>
      </c>
      <c r="Q148" s="30">
        <v>0.05</v>
      </c>
      <c r="R148" s="30">
        <v>0.1</v>
      </c>
      <c r="S148" s="30">
        <v>0.25</v>
      </c>
      <c r="T148" s="30">
        <v>0.65</v>
      </c>
      <c r="U148" s="30">
        <v>0.9</v>
      </c>
      <c r="V148" s="30">
        <v>1.65</v>
      </c>
      <c r="W148" s="30">
        <v>3.05</v>
      </c>
      <c r="X148" s="30">
        <v>4.5</v>
      </c>
      <c r="Y148" s="30">
        <v>4.5999999999999996</v>
      </c>
      <c r="Z148" s="30">
        <v>7.2</v>
      </c>
      <c r="AA148" s="30">
        <v>7.65</v>
      </c>
      <c r="AB148" s="30">
        <v>10.35</v>
      </c>
      <c r="AC148" s="30">
        <v>12</v>
      </c>
      <c r="AD148" s="30">
        <v>14</v>
      </c>
      <c r="AE148" s="30">
        <v>15.4</v>
      </c>
      <c r="AF148" s="30">
        <v>18.55</v>
      </c>
      <c r="AG148" s="30">
        <v>20.7</v>
      </c>
      <c r="AH148" s="30">
        <v>20.55</v>
      </c>
      <c r="AI148" s="30">
        <v>20.25</v>
      </c>
      <c r="AJ148" s="30">
        <v>18.3</v>
      </c>
      <c r="AK148" s="30">
        <v>17.7</v>
      </c>
      <c r="AL148" s="30">
        <v>18.55</v>
      </c>
      <c r="AM148" s="30">
        <v>17.55</v>
      </c>
      <c r="AN148" s="30">
        <v>18.7</v>
      </c>
      <c r="AO148" s="30">
        <v>19.7</v>
      </c>
      <c r="AP148" s="30">
        <v>18.7</v>
      </c>
      <c r="AQ148" s="30">
        <v>17.850000000000001</v>
      </c>
      <c r="AR148" s="30">
        <v>14.05</v>
      </c>
      <c r="AS148" s="30">
        <v>12.6</v>
      </c>
      <c r="AT148" s="30">
        <v>8.5500000000000007</v>
      </c>
      <c r="AU148" s="30">
        <v>7.45</v>
      </c>
      <c r="AV148" s="30">
        <v>4.95</v>
      </c>
      <c r="AW148" s="30">
        <v>3.55</v>
      </c>
      <c r="AX148" s="30">
        <v>2.15</v>
      </c>
      <c r="AY148" s="30">
        <v>1.1000000000000001</v>
      </c>
      <c r="AZ148" s="30">
        <v>0.55000000000000004</v>
      </c>
      <c r="BA148" s="30">
        <v>0.15</v>
      </c>
      <c r="BB148" s="30">
        <v>0.25</v>
      </c>
      <c r="BC148" s="30">
        <v>0.15</v>
      </c>
      <c r="BD148" s="30">
        <v>0.1</v>
      </c>
      <c r="BE148" s="30"/>
      <c r="BF148" s="30"/>
      <c r="BG148" s="30"/>
      <c r="BH148" s="30"/>
      <c r="BI148" s="30">
        <v>365.25</v>
      </c>
    </row>
    <row r="149" spans="3:61" x14ac:dyDescent="0.2">
      <c r="C149" s="144" t="s">
        <v>128</v>
      </c>
      <c r="D149" s="145" t="s">
        <v>129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0.1</v>
      </c>
      <c r="P149" s="30">
        <v>0.05</v>
      </c>
      <c r="Q149" s="30">
        <v>0.2</v>
      </c>
      <c r="R149" s="30">
        <v>1</v>
      </c>
      <c r="S149" s="30">
        <v>0.9</v>
      </c>
      <c r="T149" s="30">
        <v>1.45</v>
      </c>
      <c r="U149" s="30">
        <v>1.85</v>
      </c>
      <c r="V149" s="30">
        <v>4.1500000000000004</v>
      </c>
      <c r="W149" s="30">
        <v>5.4</v>
      </c>
      <c r="X149" s="30">
        <v>6.25</v>
      </c>
      <c r="Y149" s="30">
        <v>7.8</v>
      </c>
      <c r="Z149" s="30">
        <v>10.15</v>
      </c>
      <c r="AA149" s="30">
        <v>11.4</v>
      </c>
      <c r="AB149" s="30">
        <v>13.05</v>
      </c>
      <c r="AC149" s="30">
        <v>13.75</v>
      </c>
      <c r="AD149" s="30">
        <v>15.75</v>
      </c>
      <c r="AE149" s="30">
        <v>16.5</v>
      </c>
      <c r="AF149" s="30">
        <v>16.2</v>
      </c>
      <c r="AG149" s="30">
        <v>15.35</v>
      </c>
      <c r="AH149" s="30">
        <v>15.95</v>
      </c>
      <c r="AI149" s="30">
        <v>15.3</v>
      </c>
      <c r="AJ149" s="30">
        <v>15.5</v>
      </c>
      <c r="AK149" s="30">
        <v>16.7</v>
      </c>
      <c r="AL149" s="30">
        <v>14.45</v>
      </c>
      <c r="AM149" s="30">
        <v>15.3</v>
      </c>
      <c r="AN149" s="30">
        <v>16.05</v>
      </c>
      <c r="AO149" s="30">
        <v>16.649999999999999</v>
      </c>
      <c r="AP149" s="30">
        <v>17.25</v>
      </c>
      <c r="AQ149" s="30">
        <v>16.05</v>
      </c>
      <c r="AR149" s="30">
        <v>13.15</v>
      </c>
      <c r="AS149" s="30">
        <v>11.65</v>
      </c>
      <c r="AT149" s="30">
        <v>10.85</v>
      </c>
      <c r="AU149" s="30">
        <v>11.4</v>
      </c>
      <c r="AV149" s="30">
        <v>7.35</v>
      </c>
      <c r="AW149" s="30">
        <v>5.15</v>
      </c>
      <c r="AX149" s="30">
        <v>2.65</v>
      </c>
      <c r="AY149" s="30">
        <v>1.55</v>
      </c>
      <c r="AZ149" s="30">
        <v>0.65</v>
      </c>
      <c r="BA149" s="30">
        <v>0.25</v>
      </c>
      <c r="BB149" s="30">
        <v>0.1</v>
      </c>
      <c r="BC149" s="30"/>
      <c r="BD149" s="30"/>
      <c r="BE149" s="30"/>
      <c r="BF149" s="30"/>
      <c r="BG149" s="30"/>
      <c r="BH149" s="30"/>
      <c r="BI149" s="30">
        <v>365.25</v>
      </c>
    </row>
    <row r="150" spans="3:61" x14ac:dyDescent="0.2">
      <c r="C150" s="144" t="s">
        <v>130</v>
      </c>
      <c r="D150" s="145" t="s">
        <v>131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0.15</v>
      </c>
      <c r="P150" s="30">
        <v>0.1</v>
      </c>
      <c r="Q150" s="30">
        <v>0.65</v>
      </c>
      <c r="R150" s="30">
        <v>0.45</v>
      </c>
      <c r="S150" s="30">
        <v>1.3</v>
      </c>
      <c r="T150" s="30">
        <v>1.8</v>
      </c>
      <c r="U150" s="30">
        <v>2.65</v>
      </c>
      <c r="V150" s="30">
        <v>4.3</v>
      </c>
      <c r="W150" s="30">
        <v>4.55</v>
      </c>
      <c r="X150" s="30">
        <v>6.6</v>
      </c>
      <c r="Y150" s="30">
        <v>9.35</v>
      </c>
      <c r="Z150" s="30">
        <v>10.1</v>
      </c>
      <c r="AA150" s="30">
        <v>12.45</v>
      </c>
      <c r="AB150" s="30">
        <v>10.7</v>
      </c>
      <c r="AC150" s="30">
        <v>13.65</v>
      </c>
      <c r="AD150" s="30">
        <v>15.6</v>
      </c>
      <c r="AE150" s="30">
        <v>15</v>
      </c>
      <c r="AF150" s="30">
        <v>16.2</v>
      </c>
      <c r="AG150" s="30">
        <v>18.05</v>
      </c>
      <c r="AH150" s="30">
        <v>15.95</v>
      </c>
      <c r="AI150" s="30">
        <v>14.8</v>
      </c>
      <c r="AJ150" s="30">
        <v>14.95</v>
      </c>
      <c r="AK150" s="30">
        <v>13.45</v>
      </c>
      <c r="AL150" s="30">
        <v>15.95</v>
      </c>
      <c r="AM150" s="30">
        <v>17.600000000000001</v>
      </c>
      <c r="AN150" s="30">
        <v>16.600000000000001</v>
      </c>
      <c r="AO150" s="30">
        <v>16.45</v>
      </c>
      <c r="AP150" s="30">
        <v>17.649999999999999</v>
      </c>
      <c r="AQ150" s="30">
        <v>15.45</v>
      </c>
      <c r="AR150" s="30">
        <v>14.65</v>
      </c>
      <c r="AS150" s="30">
        <v>11.45</v>
      </c>
      <c r="AT150" s="30">
        <v>10.45</v>
      </c>
      <c r="AU150" s="30">
        <v>10.199999999999999</v>
      </c>
      <c r="AV150" s="30">
        <v>6.95</v>
      </c>
      <c r="AW150" s="30">
        <v>4.4000000000000004</v>
      </c>
      <c r="AX150" s="30">
        <v>2.8</v>
      </c>
      <c r="AY150" s="30">
        <v>0.9</v>
      </c>
      <c r="AZ150" s="30">
        <v>0.55000000000000004</v>
      </c>
      <c r="BA150" s="30">
        <v>0.35</v>
      </c>
      <c r="BB150" s="30">
        <v>0.05</v>
      </c>
      <c r="BC150" s="30"/>
      <c r="BD150" s="30"/>
      <c r="BE150" s="30"/>
      <c r="BF150" s="30"/>
      <c r="BG150" s="30"/>
      <c r="BH150" s="30"/>
      <c r="BI150" s="30">
        <v>365.25</v>
      </c>
    </row>
    <row r="151" spans="3:61" x14ac:dyDescent="0.2">
      <c r="C151" s="144" t="s">
        <v>132</v>
      </c>
      <c r="D151" s="145" t="s">
        <v>133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0.05</v>
      </c>
      <c r="S151" s="30">
        <v>0.1</v>
      </c>
      <c r="T151" s="30">
        <v>0.4</v>
      </c>
      <c r="U151" s="30">
        <v>0.35</v>
      </c>
      <c r="V151" s="30">
        <v>1</v>
      </c>
      <c r="W151" s="30">
        <v>1.35</v>
      </c>
      <c r="X151" s="30">
        <v>2</v>
      </c>
      <c r="Y151" s="30">
        <v>3.2</v>
      </c>
      <c r="Z151" s="30">
        <v>4.55</v>
      </c>
      <c r="AA151" s="30">
        <v>5.2</v>
      </c>
      <c r="AB151" s="30">
        <v>6.15</v>
      </c>
      <c r="AC151" s="30">
        <v>9.1999999999999993</v>
      </c>
      <c r="AD151" s="30">
        <v>12.05</v>
      </c>
      <c r="AE151" s="30">
        <v>12.65</v>
      </c>
      <c r="AF151" s="30">
        <v>16.05</v>
      </c>
      <c r="AG151" s="30">
        <v>16.95</v>
      </c>
      <c r="AH151" s="30">
        <v>18.899999999999999</v>
      </c>
      <c r="AI151" s="30">
        <v>19.850000000000001</v>
      </c>
      <c r="AJ151" s="30">
        <v>19.7</v>
      </c>
      <c r="AK151" s="30">
        <v>17.649999999999999</v>
      </c>
      <c r="AL151" s="30">
        <v>17.899999999999999</v>
      </c>
      <c r="AM151" s="30">
        <v>18.8</v>
      </c>
      <c r="AN151" s="30">
        <v>17.350000000000001</v>
      </c>
      <c r="AO151" s="30">
        <v>18.05</v>
      </c>
      <c r="AP151" s="30">
        <v>18.7</v>
      </c>
      <c r="AQ151" s="30">
        <v>18.45</v>
      </c>
      <c r="AR151" s="30">
        <v>16.75</v>
      </c>
      <c r="AS151" s="30">
        <v>16.5</v>
      </c>
      <c r="AT151" s="30">
        <v>14.3</v>
      </c>
      <c r="AU151" s="30">
        <v>13.65</v>
      </c>
      <c r="AV151" s="30">
        <v>10.15</v>
      </c>
      <c r="AW151" s="30">
        <v>7.05</v>
      </c>
      <c r="AX151" s="30">
        <v>4.3</v>
      </c>
      <c r="AY151" s="30">
        <v>2.6</v>
      </c>
      <c r="AZ151" s="30">
        <v>1.95</v>
      </c>
      <c r="BA151" s="30">
        <v>0.8</v>
      </c>
      <c r="BB151" s="30">
        <v>0.3</v>
      </c>
      <c r="BC151" s="30">
        <v>0.15</v>
      </c>
      <c r="BD151" s="30">
        <v>0.15</v>
      </c>
      <c r="BE151" s="30"/>
      <c r="BF151" s="30"/>
      <c r="BG151" s="30"/>
      <c r="BH151" s="30"/>
      <c r="BI151" s="30">
        <v>365.25</v>
      </c>
    </row>
    <row r="152" spans="3:61" x14ac:dyDescent="0.2">
      <c r="C152" s="144" t="s">
        <v>134</v>
      </c>
      <c r="D152" s="145" t="s">
        <v>135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0.05</v>
      </c>
      <c r="P152" s="30">
        <v>0.1</v>
      </c>
      <c r="Q152" s="30">
        <v>0.25</v>
      </c>
      <c r="R152" s="30">
        <v>0.3</v>
      </c>
      <c r="S152" s="30">
        <v>0.6</v>
      </c>
      <c r="T152" s="30">
        <v>1.2</v>
      </c>
      <c r="U152" s="30">
        <v>1.05</v>
      </c>
      <c r="V152" s="30">
        <v>2.15</v>
      </c>
      <c r="W152" s="30">
        <v>3.35</v>
      </c>
      <c r="X152" s="30">
        <v>5.2</v>
      </c>
      <c r="Y152" s="30">
        <v>6.6</v>
      </c>
      <c r="Z152" s="30">
        <v>8.65</v>
      </c>
      <c r="AA152" s="30">
        <v>9.25</v>
      </c>
      <c r="AB152" s="30">
        <v>12.05</v>
      </c>
      <c r="AC152" s="30">
        <v>11.95</v>
      </c>
      <c r="AD152" s="30">
        <v>13.6</v>
      </c>
      <c r="AE152" s="30">
        <v>16.350000000000001</v>
      </c>
      <c r="AF152" s="30">
        <v>18</v>
      </c>
      <c r="AG152" s="30">
        <v>19.850000000000001</v>
      </c>
      <c r="AH152" s="30">
        <v>19.25</v>
      </c>
      <c r="AI152" s="30">
        <v>20.05</v>
      </c>
      <c r="AJ152" s="30">
        <v>20.149999999999999</v>
      </c>
      <c r="AK152" s="30">
        <v>17</v>
      </c>
      <c r="AL152" s="30">
        <v>17.75</v>
      </c>
      <c r="AM152" s="30">
        <v>18.95</v>
      </c>
      <c r="AN152" s="30">
        <v>19.100000000000001</v>
      </c>
      <c r="AO152" s="30">
        <v>19.7</v>
      </c>
      <c r="AP152" s="30">
        <v>17.850000000000001</v>
      </c>
      <c r="AQ152" s="30">
        <v>15.1</v>
      </c>
      <c r="AR152" s="30">
        <v>14.25</v>
      </c>
      <c r="AS152" s="30">
        <v>10.55</v>
      </c>
      <c r="AT152" s="30">
        <v>9.4499999999999993</v>
      </c>
      <c r="AU152" s="30">
        <v>6.2</v>
      </c>
      <c r="AV152" s="30">
        <v>4.7</v>
      </c>
      <c r="AW152" s="30">
        <v>2.4500000000000002</v>
      </c>
      <c r="AX152" s="30">
        <v>0.95</v>
      </c>
      <c r="AY152" s="30">
        <v>0.45</v>
      </c>
      <c r="AZ152" s="30">
        <v>0.45</v>
      </c>
      <c r="BA152" s="30">
        <v>0.3</v>
      </c>
      <c r="BB152" s="30"/>
      <c r="BC152" s="30">
        <v>0.05</v>
      </c>
      <c r="BD152" s="30"/>
      <c r="BE152" s="30"/>
      <c r="BF152" s="30"/>
      <c r="BG152" s="30"/>
      <c r="BH152" s="30"/>
      <c r="BI152" s="30">
        <v>365.25</v>
      </c>
    </row>
    <row r="153" spans="3:61" x14ac:dyDescent="0.2">
      <c r="C153" s="144" t="s">
        <v>136</v>
      </c>
      <c r="D153" s="145" t="s">
        <v>137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0.15</v>
      </c>
      <c r="Q153" s="30">
        <v>0.25</v>
      </c>
      <c r="R153" s="30">
        <v>0.7</v>
      </c>
      <c r="S153" s="30">
        <v>0.75</v>
      </c>
      <c r="T153" s="30">
        <v>1.3</v>
      </c>
      <c r="U153" s="30">
        <v>2.25</v>
      </c>
      <c r="V153" s="30">
        <v>3.05</v>
      </c>
      <c r="W153" s="30">
        <v>4.5999999999999996</v>
      </c>
      <c r="X153" s="30">
        <v>6.4</v>
      </c>
      <c r="Y153" s="30">
        <v>6.9</v>
      </c>
      <c r="Z153" s="30">
        <v>8.6999999999999993</v>
      </c>
      <c r="AA153" s="30">
        <v>10.8</v>
      </c>
      <c r="AB153" s="30">
        <v>11.15</v>
      </c>
      <c r="AC153" s="30">
        <v>13.15</v>
      </c>
      <c r="AD153" s="30">
        <v>13.35</v>
      </c>
      <c r="AE153" s="30">
        <v>15.7</v>
      </c>
      <c r="AF153" s="30">
        <v>14.95</v>
      </c>
      <c r="AG153" s="30">
        <v>16.149999999999999</v>
      </c>
      <c r="AH153" s="30">
        <v>17.600000000000001</v>
      </c>
      <c r="AI153" s="30">
        <v>16.5</v>
      </c>
      <c r="AJ153" s="30">
        <v>18.3</v>
      </c>
      <c r="AK153" s="30">
        <v>16.899999999999999</v>
      </c>
      <c r="AL153" s="30">
        <v>16.5</v>
      </c>
      <c r="AM153" s="30">
        <v>16.649999999999999</v>
      </c>
      <c r="AN153" s="30">
        <v>17.600000000000001</v>
      </c>
      <c r="AO153" s="30">
        <v>16.899999999999999</v>
      </c>
      <c r="AP153" s="30">
        <v>16.3</v>
      </c>
      <c r="AQ153" s="30">
        <v>16.649999999999999</v>
      </c>
      <c r="AR153" s="30">
        <v>14</v>
      </c>
      <c r="AS153" s="30">
        <v>10.5</v>
      </c>
      <c r="AT153" s="30">
        <v>10.8</v>
      </c>
      <c r="AU153" s="30">
        <v>9.25</v>
      </c>
      <c r="AV153" s="30">
        <v>8.5500000000000007</v>
      </c>
      <c r="AW153" s="30">
        <v>4.3499999999999996</v>
      </c>
      <c r="AX153" s="30">
        <v>3.6</v>
      </c>
      <c r="AY153" s="30">
        <v>1.65</v>
      </c>
      <c r="AZ153" s="30">
        <v>1.2</v>
      </c>
      <c r="BA153" s="30">
        <v>0.8</v>
      </c>
      <c r="BB153" s="30">
        <v>0.2</v>
      </c>
      <c r="BC153" s="30">
        <v>0.15</v>
      </c>
      <c r="BD153" s="30"/>
      <c r="BE153" s="30"/>
      <c r="BF153" s="30"/>
      <c r="BG153" s="30"/>
      <c r="BH153" s="30"/>
      <c r="BI153" s="30">
        <v>365.25</v>
      </c>
    </row>
    <row r="154" spans="3:61" x14ac:dyDescent="0.2">
      <c r="C154" s="144" t="s">
        <v>138</v>
      </c>
      <c r="D154" s="145" t="s">
        <v>139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0.1</v>
      </c>
      <c r="N154" s="30">
        <v>0.2</v>
      </c>
      <c r="O154" s="30">
        <v>0.4</v>
      </c>
      <c r="P154" s="30">
        <v>0.85</v>
      </c>
      <c r="Q154" s="30">
        <v>1.25</v>
      </c>
      <c r="R154" s="30">
        <v>1.3</v>
      </c>
      <c r="S154" s="30">
        <v>2.75</v>
      </c>
      <c r="T154" s="30">
        <v>2.95</v>
      </c>
      <c r="U154" s="30">
        <v>4.3</v>
      </c>
      <c r="V154" s="30">
        <v>6.7</v>
      </c>
      <c r="W154" s="30">
        <v>6</v>
      </c>
      <c r="X154" s="30">
        <v>9.1999999999999993</v>
      </c>
      <c r="Y154" s="30">
        <v>11.5</v>
      </c>
      <c r="Z154" s="30">
        <v>13.75</v>
      </c>
      <c r="AA154" s="30">
        <v>14.9</v>
      </c>
      <c r="AB154" s="30">
        <v>17.95</v>
      </c>
      <c r="AC154" s="30">
        <v>16.899999999999999</v>
      </c>
      <c r="AD154" s="30">
        <v>19.149999999999999</v>
      </c>
      <c r="AE154" s="30">
        <v>18</v>
      </c>
      <c r="AF154" s="30">
        <v>17.850000000000001</v>
      </c>
      <c r="AG154" s="30">
        <v>16.600000000000001</v>
      </c>
      <c r="AH154" s="30">
        <v>18.649999999999999</v>
      </c>
      <c r="AI154" s="30">
        <v>17.600000000000001</v>
      </c>
      <c r="AJ154" s="30">
        <v>16.899999999999999</v>
      </c>
      <c r="AK154" s="30">
        <v>17.399999999999999</v>
      </c>
      <c r="AL154" s="30">
        <v>16</v>
      </c>
      <c r="AM154" s="30">
        <v>17.899999999999999</v>
      </c>
      <c r="AN154" s="30">
        <v>14.5</v>
      </c>
      <c r="AO154" s="30">
        <v>13.05</v>
      </c>
      <c r="AP154" s="30">
        <v>13.7</v>
      </c>
      <c r="AQ154" s="30">
        <v>11.35</v>
      </c>
      <c r="AR154" s="30">
        <v>9.65</v>
      </c>
      <c r="AS154" s="30">
        <v>7.2</v>
      </c>
      <c r="AT154" s="30">
        <v>4.5</v>
      </c>
      <c r="AU154" s="30">
        <v>2.5</v>
      </c>
      <c r="AV154" s="30">
        <v>1</v>
      </c>
      <c r="AW154" s="30">
        <v>0.55000000000000004</v>
      </c>
      <c r="AX154" s="30">
        <v>0.2</v>
      </c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>
        <v>365.25</v>
      </c>
    </row>
    <row r="155" spans="3:61" x14ac:dyDescent="0.2">
      <c r="C155" s="144" t="s">
        <v>140</v>
      </c>
      <c r="D155" s="145" t="s">
        <v>141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0.05</v>
      </c>
      <c r="Q155" s="30">
        <v>0.05</v>
      </c>
      <c r="R155" s="30">
        <v>0.1</v>
      </c>
      <c r="S155" s="30">
        <v>0</v>
      </c>
      <c r="T155" s="30">
        <v>0.25</v>
      </c>
      <c r="U155" s="30">
        <v>0.35</v>
      </c>
      <c r="V155" s="30">
        <v>0.65</v>
      </c>
      <c r="W155" s="30">
        <v>1.3</v>
      </c>
      <c r="X155" s="30">
        <v>2.25</v>
      </c>
      <c r="Y155" s="30">
        <v>4.25</v>
      </c>
      <c r="Z155" s="30">
        <v>4.9000000000000004</v>
      </c>
      <c r="AA155" s="30">
        <v>5.7</v>
      </c>
      <c r="AB155" s="30">
        <v>7.25</v>
      </c>
      <c r="AC155" s="30">
        <v>9.9499999999999993</v>
      </c>
      <c r="AD155" s="30">
        <v>11.25</v>
      </c>
      <c r="AE155" s="30">
        <v>14.6</v>
      </c>
      <c r="AF155" s="30">
        <v>16.45</v>
      </c>
      <c r="AG155" s="30">
        <v>19.899999999999999</v>
      </c>
      <c r="AH155" s="30">
        <v>24.8</v>
      </c>
      <c r="AI155" s="30">
        <v>24.15</v>
      </c>
      <c r="AJ155" s="30">
        <v>22.65</v>
      </c>
      <c r="AK155" s="30">
        <v>20.85</v>
      </c>
      <c r="AL155" s="30">
        <v>18.25</v>
      </c>
      <c r="AM155" s="30">
        <v>19.25</v>
      </c>
      <c r="AN155" s="30">
        <v>20.3</v>
      </c>
      <c r="AO155" s="30">
        <v>21.3</v>
      </c>
      <c r="AP155" s="30">
        <v>21.5</v>
      </c>
      <c r="AQ155" s="30">
        <v>18.850000000000001</v>
      </c>
      <c r="AR155" s="30">
        <v>14.7</v>
      </c>
      <c r="AS155" s="30">
        <v>12.5</v>
      </c>
      <c r="AT155" s="30">
        <v>8.75</v>
      </c>
      <c r="AU155" s="30">
        <v>5.9</v>
      </c>
      <c r="AV155" s="30">
        <v>4.2</v>
      </c>
      <c r="AW155" s="30">
        <v>4</v>
      </c>
      <c r="AX155" s="30">
        <v>1.8</v>
      </c>
      <c r="AY155" s="30">
        <v>1.2</v>
      </c>
      <c r="AZ155" s="30">
        <v>0.35</v>
      </c>
      <c r="BA155" s="30">
        <v>0.45</v>
      </c>
      <c r="BB155" s="30">
        <v>0.15</v>
      </c>
      <c r="BC155" s="30"/>
      <c r="BD155" s="30">
        <v>0.1</v>
      </c>
      <c r="BE155" s="30"/>
      <c r="BF155" s="30"/>
      <c r="BG155" s="30"/>
      <c r="BH155" s="30"/>
      <c r="BI155" s="30">
        <v>365.25</v>
      </c>
    </row>
    <row r="156" spans="3:61" x14ac:dyDescent="0.2">
      <c r="C156" s="144" t="s">
        <v>142</v>
      </c>
      <c r="D156" s="145" t="s">
        <v>143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0">
        <v>0</v>
      </c>
      <c r="O156" s="30">
        <v>0.15</v>
      </c>
      <c r="P156" s="30">
        <v>0</v>
      </c>
      <c r="Q156" s="30">
        <v>0.2</v>
      </c>
      <c r="R156" s="30">
        <v>0.25</v>
      </c>
      <c r="S156" s="30">
        <v>0.6</v>
      </c>
      <c r="T156" s="30">
        <v>0.55000000000000004</v>
      </c>
      <c r="U156" s="30">
        <v>1.55</v>
      </c>
      <c r="V156" s="30">
        <v>2.4500000000000002</v>
      </c>
      <c r="W156" s="30">
        <v>3.4</v>
      </c>
      <c r="X156" s="30">
        <v>5.3</v>
      </c>
      <c r="Y156" s="30">
        <v>6.9</v>
      </c>
      <c r="Z156" s="30">
        <v>7.2</v>
      </c>
      <c r="AA156" s="30">
        <v>9.6</v>
      </c>
      <c r="AB156" s="30">
        <v>10.95</v>
      </c>
      <c r="AC156" s="30">
        <v>12.2</v>
      </c>
      <c r="AD156" s="30">
        <v>15.5</v>
      </c>
      <c r="AE156" s="30">
        <v>16.45</v>
      </c>
      <c r="AF156" s="30">
        <v>18.8</v>
      </c>
      <c r="AG156" s="30">
        <v>20.2</v>
      </c>
      <c r="AH156" s="30">
        <v>19.350000000000001</v>
      </c>
      <c r="AI156" s="30">
        <v>18.3</v>
      </c>
      <c r="AJ156" s="30">
        <v>17.95</v>
      </c>
      <c r="AK156" s="30">
        <v>18.149999999999999</v>
      </c>
      <c r="AL156" s="30">
        <v>17</v>
      </c>
      <c r="AM156" s="30">
        <v>18.149999999999999</v>
      </c>
      <c r="AN156" s="30">
        <v>19.05</v>
      </c>
      <c r="AO156" s="30">
        <v>19.75</v>
      </c>
      <c r="AP156" s="30">
        <v>17.75</v>
      </c>
      <c r="AQ156" s="30">
        <v>16.25</v>
      </c>
      <c r="AR156" s="30">
        <v>13.2</v>
      </c>
      <c r="AS156" s="30">
        <v>12.3</v>
      </c>
      <c r="AT156" s="30">
        <v>8.5</v>
      </c>
      <c r="AU156" s="30">
        <v>6.3</v>
      </c>
      <c r="AV156" s="30">
        <v>4.8</v>
      </c>
      <c r="AW156" s="30">
        <v>2.4</v>
      </c>
      <c r="AX156" s="30">
        <v>2.0499999999999998</v>
      </c>
      <c r="AY156" s="30">
        <v>0.8</v>
      </c>
      <c r="AZ156" s="30">
        <v>0.45</v>
      </c>
      <c r="BA156" s="30">
        <v>0.25</v>
      </c>
      <c r="BB156" s="30">
        <v>0.25</v>
      </c>
      <c r="BC156" s="30"/>
      <c r="BD156" s="30"/>
      <c r="BE156" s="30"/>
      <c r="BF156" s="30"/>
      <c r="BG156" s="30"/>
      <c r="BH156" s="30"/>
      <c r="BI156" s="30">
        <v>365.25</v>
      </c>
    </row>
    <row r="157" spans="3:61" x14ac:dyDescent="0.2">
      <c r="C157" s="144" t="s">
        <v>144</v>
      </c>
      <c r="D157" s="145" t="s">
        <v>145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0.1</v>
      </c>
      <c r="S157" s="30">
        <v>0.35</v>
      </c>
      <c r="T157" s="30">
        <v>0.5</v>
      </c>
      <c r="U157" s="30">
        <v>1.4</v>
      </c>
      <c r="V157" s="30">
        <v>1.5</v>
      </c>
      <c r="W157" s="30">
        <v>2.35</v>
      </c>
      <c r="X157" s="30">
        <v>3.05</v>
      </c>
      <c r="Y157" s="30">
        <v>4.45</v>
      </c>
      <c r="Z157" s="30">
        <v>5.45</v>
      </c>
      <c r="AA157" s="30">
        <v>7.25</v>
      </c>
      <c r="AB157" s="30">
        <v>8.5</v>
      </c>
      <c r="AC157" s="30">
        <v>9.9499999999999993</v>
      </c>
      <c r="AD157" s="30">
        <v>11.2</v>
      </c>
      <c r="AE157" s="30">
        <v>14.5</v>
      </c>
      <c r="AF157" s="30">
        <v>16.55</v>
      </c>
      <c r="AG157" s="30">
        <v>17.8</v>
      </c>
      <c r="AH157" s="30">
        <v>20.2</v>
      </c>
      <c r="AI157" s="30">
        <v>19.2</v>
      </c>
      <c r="AJ157" s="30">
        <v>20.2</v>
      </c>
      <c r="AK157" s="30">
        <v>18.55</v>
      </c>
      <c r="AL157" s="30">
        <v>16.2</v>
      </c>
      <c r="AM157" s="30">
        <v>17.75</v>
      </c>
      <c r="AN157" s="30">
        <v>17.850000000000001</v>
      </c>
      <c r="AO157" s="30">
        <v>17.45</v>
      </c>
      <c r="AP157" s="30">
        <v>17.75</v>
      </c>
      <c r="AQ157" s="30">
        <v>18.350000000000001</v>
      </c>
      <c r="AR157" s="30">
        <v>15.7</v>
      </c>
      <c r="AS157" s="30">
        <v>14.35</v>
      </c>
      <c r="AT157" s="30">
        <v>12.2</v>
      </c>
      <c r="AU157" s="30">
        <v>10.95</v>
      </c>
      <c r="AV157" s="30">
        <v>7.7</v>
      </c>
      <c r="AW157" s="30">
        <v>5.6</v>
      </c>
      <c r="AX157" s="30">
        <v>4.3499999999999996</v>
      </c>
      <c r="AY157" s="30">
        <v>2.65</v>
      </c>
      <c r="AZ157" s="30">
        <v>1.65</v>
      </c>
      <c r="BA157" s="30">
        <v>0.8</v>
      </c>
      <c r="BB157" s="30">
        <v>0.45</v>
      </c>
      <c r="BC157" s="30">
        <v>0.25</v>
      </c>
      <c r="BD157" s="30">
        <v>0.1</v>
      </c>
      <c r="BE157" s="30">
        <v>0.1</v>
      </c>
      <c r="BF157" s="30"/>
      <c r="BG157" s="30"/>
      <c r="BH157" s="30"/>
      <c r="BI157" s="30">
        <v>365.25</v>
      </c>
    </row>
    <row r="158" spans="3:61" x14ac:dyDescent="0.2">
      <c r="C158" s="144" t="s">
        <v>146</v>
      </c>
      <c r="D158" s="145" t="s">
        <v>147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0.05</v>
      </c>
      <c r="S158" s="30">
        <v>0.1</v>
      </c>
      <c r="T158" s="30">
        <v>0.15</v>
      </c>
      <c r="U158" s="30">
        <v>0.65</v>
      </c>
      <c r="V158" s="30">
        <v>1.2</v>
      </c>
      <c r="W158" s="30">
        <v>1.55</v>
      </c>
      <c r="X158" s="30">
        <v>2.4500000000000002</v>
      </c>
      <c r="Y158" s="30">
        <v>3.35</v>
      </c>
      <c r="Z158" s="30">
        <v>5.15</v>
      </c>
      <c r="AA158" s="30">
        <v>6.35</v>
      </c>
      <c r="AB158" s="30">
        <v>7.25</v>
      </c>
      <c r="AC158" s="30">
        <v>8.6999999999999993</v>
      </c>
      <c r="AD158" s="30">
        <v>10.35</v>
      </c>
      <c r="AE158" s="30">
        <v>14.4</v>
      </c>
      <c r="AF158" s="30">
        <v>14.45</v>
      </c>
      <c r="AG158" s="30">
        <v>17.2</v>
      </c>
      <c r="AH158" s="30">
        <v>19.850000000000001</v>
      </c>
      <c r="AI158" s="30">
        <v>20.3</v>
      </c>
      <c r="AJ158" s="30">
        <v>17.45</v>
      </c>
      <c r="AK158" s="30">
        <v>19.149999999999999</v>
      </c>
      <c r="AL158" s="30">
        <v>18.100000000000001</v>
      </c>
      <c r="AM158" s="30">
        <v>16.5</v>
      </c>
      <c r="AN158" s="30">
        <v>16</v>
      </c>
      <c r="AO158" s="30">
        <v>16.100000000000001</v>
      </c>
      <c r="AP158" s="30">
        <v>19.2</v>
      </c>
      <c r="AQ158" s="30">
        <v>19.5</v>
      </c>
      <c r="AR158" s="30">
        <v>16.45</v>
      </c>
      <c r="AS158" s="30">
        <v>15.9</v>
      </c>
      <c r="AT158" s="30">
        <v>15.7</v>
      </c>
      <c r="AU158" s="30">
        <v>12.5</v>
      </c>
      <c r="AV158" s="30">
        <v>10.75</v>
      </c>
      <c r="AW158" s="30">
        <v>7.5</v>
      </c>
      <c r="AX158" s="30">
        <v>4.8499999999999996</v>
      </c>
      <c r="AY158" s="30">
        <v>3.15</v>
      </c>
      <c r="AZ158" s="30">
        <v>1.55</v>
      </c>
      <c r="BA158" s="30">
        <v>0.85</v>
      </c>
      <c r="BB158" s="30">
        <v>0.45</v>
      </c>
      <c r="BC158" s="30">
        <v>0.1</v>
      </c>
      <c r="BD158" s="30"/>
      <c r="BE158" s="30"/>
      <c r="BF158" s="30"/>
      <c r="BG158" s="30"/>
      <c r="BH158" s="30"/>
      <c r="BI158" s="30">
        <v>365.25</v>
      </c>
    </row>
    <row r="159" spans="3:61" x14ac:dyDescent="0.2">
      <c r="C159" s="144" t="s">
        <v>148</v>
      </c>
      <c r="D159" s="145" t="s">
        <v>149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0.05</v>
      </c>
      <c r="Q159" s="30">
        <v>0</v>
      </c>
      <c r="R159" s="30">
        <v>0.5</v>
      </c>
      <c r="S159" s="30">
        <v>0.5</v>
      </c>
      <c r="T159" s="30">
        <v>1.65</v>
      </c>
      <c r="U159" s="30">
        <v>2.25</v>
      </c>
      <c r="V159" s="30">
        <v>2.4</v>
      </c>
      <c r="W159" s="30">
        <v>3.95</v>
      </c>
      <c r="X159" s="30">
        <v>5.9</v>
      </c>
      <c r="Y159" s="30">
        <v>7.2</v>
      </c>
      <c r="Z159" s="30">
        <v>9.1999999999999993</v>
      </c>
      <c r="AA159" s="30">
        <v>13.95</v>
      </c>
      <c r="AB159" s="30">
        <v>15.4</v>
      </c>
      <c r="AC159" s="30">
        <v>19.100000000000001</v>
      </c>
      <c r="AD159" s="30">
        <v>19.05</v>
      </c>
      <c r="AE159" s="30">
        <v>17.95</v>
      </c>
      <c r="AF159" s="30">
        <v>18.899999999999999</v>
      </c>
      <c r="AG159" s="30">
        <v>18.149999999999999</v>
      </c>
      <c r="AH159" s="30">
        <v>16.75</v>
      </c>
      <c r="AI159" s="30">
        <v>18.100000000000001</v>
      </c>
      <c r="AJ159" s="30">
        <v>15.55</v>
      </c>
      <c r="AK159" s="30">
        <v>16.45</v>
      </c>
      <c r="AL159" s="30">
        <v>17</v>
      </c>
      <c r="AM159" s="30">
        <v>16.75</v>
      </c>
      <c r="AN159" s="30">
        <v>17</v>
      </c>
      <c r="AO159" s="30">
        <v>15.9</v>
      </c>
      <c r="AP159" s="30">
        <v>14.5</v>
      </c>
      <c r="AQ159" s="30">
        <v>12.3</v>
      </c>
      <c r="AR159" s="30">
        <v>13.85</v>
      </c>
      <c r="AS159" s="30">
        <v>11</v>
      </c>
      <c r="AT159" s="30">
        <v>9.85</v>
      </c>
      <c r="AU159" s="30">
        <v>6.95</v>
      </c>
      <c r="AV159" s="30">
        <v>3.75</v>
      </c>
      <c r="AW159" s="30">
        <v>2.25</v>
      </c>
      <c r="AX159" s="30">
        <v>0.75</v>
      </c>
      <c r="AY159" s="30">
        <v>0.3</v>
      </c>
      <c r="AZ159" s="30">
        <v>0.1</v>
      </c>
      <c r="BA159" s="30">
        <v>0.05</v>
      </c>
      <c r="BB159" s="30"/>
      <c r="BC159" s="30"/>
      <c r="BD159" s="30"/>
      <c r="BE159" s="30"/>
      <c r="BF159" s="30"/>
      <c r="BG159" s="30"/>
      <c r="BH159" s="30"/>
      <c r="BI159" s="30">
        <v>365.25</v>
      </c>
    </row>
    <row r="160" spans="3:61" x14ac:dyDescent="0.2">
      <c r="C160" s="144" t="s">
        <v>150</v>
      </c>
      <c r="D160" s="145" t="s">
        <v>151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0.05</v>
      </c>
      <c r="P160" s="30">
        <v>0</v>
      </c>
      <c r="Q160" s="30">
        <v>0.15</v>
      </c>
      <c r="R160" s="30">
        <v>0</v>
      </c>
      <c r="S160" s="30">
        <v>0.1</v>
      </c>
      <c r="T160" s="30">
        <v>0.45</v>
      </c>
      <c r="U160" s="30">
        <v>0.35</v>
      </c>
      <c r="V160" s="30">
        <v>1.35</v>
      </c>
      <c r="W160" s="30">
        <v>1.65</v>
      </c>
      <c r="X160" s="30">
        <v>3.65</v>
      </c>
      <c r="Y160" s="30">
        <v>4.45</v>
      </c>
      <c r="Z160" s="30">
        <v>5.2</v>
      </c>
      <c r="AA160" s="30">
        <v>7.05</v>
      </c>
      <c r="AB160" s="30">
        <v>7.3</v>
      </c>
      <c r="AC160" s="30">
        <v>10.1</v>
      </c>
      <c r="AD160" s="30">
        <v>12.8</v>
      </c>
      <c r="AE160" s="30">
        <v>14.05</v>
      </c>
      <c r="AF160" s="30">
        <v>16</v>
      </c>
      <c r="AG160" s="30">
        <v>20.100000000000001</v>
      </c>
      <c r="AH160" s="30">
        <v>22.25</v>
      </c>
      <c r="AI160" s="30">
        <v>22.25</v>
      </c>
      <c r="AJ160" s="30">
        <v>21.1</v>
      </c>
      <c r="AK160" s="30">
        <v>20.7</v>
      </c>
      <c r="AL160" s="30">
        <v>18.100000000000001</v>
      </c>
      <c r="AM160" s="30">
        <v>18.75</v>
      </c>
      <c r="AN160" s="30">
        <v>19.399999999999999</v>
      </c>
      <c r="AO160" s="30">
        <v>20.55</v>
      </c>
      <c r="AP160" s="30">
        <v>20.55</v>
      </c>
      <c r="AQ160" s="30">
        <v>18.7</v>
      </c>
      <c r="AR160" s="30">
        <v>16.100000000000001</v>
      </c>
      <c r="AS160" s="30">
        <v>13.4</v>
      </c>
      <c r="AT160" s="30">
        <v>8.8000000000000007</v>
      </c>
      <c r="AU160" s="30">
        <v>7.65</v>
      </c>
      <c r="AV160" s="30">
        <v>4.55</v>
      </c>
      <c r="AW160" s="30">
        <v>3.2</v>
      </c>
      <c r="AX160" s="30">
        <v>2.15</v>
      </c>
      <c r="AY160" s="30">
        <v>1.1499999999999999</v>
      </c>
      <c r="AZ160" s="30">
        <v>0.8</v>
      </c>
      <c r="BA160" s="30">
        <v>0.15</v>
      </c>
      <c r="BB160" s="30">
        <v>0.15</v>
      </c>
      <c r="BC160" s="30"/>
      <c r="BD160" s="30"/>
      <c r="BE160" s="30"/>
      <c r="BF160" s="30"/>
      <c r="BG160" s="30"/>
      <c r="BH160" s="30"/>
      <c r="BI160" s="30">
        <v>365.25</v>
      </c>
    </row>
    <row r="161" spans="3:61" x14ac:dyDescent="0.2">
      <c r="C161" s="144" t="s">
        <v>152</v>
      </c>
      <c r="D161" s="145" t="s">
        <v>153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0.05</v>
      </c>
      <c r="U161" s="30"/>
      <c r="V161" s="30"/>
      <c r="W161" s="30">
        <v>0.1</v>
      </c>
      <c r="X161" s="30">
        <v>0.25</v>
      </c>
      <c r="Y161" s="30">
        <v>0.45</v>
      </c>
      <c r="Z161" s="30">
        <v>1.1499999999999999</v>
      </c>
      <c r="AA161" s="30">
        <v>2</v>
      </c>
      <c r="AB161" s="30">
        <v>3.35</v>
      </c>
      <c r="AC161" s="30">
        <v>6.85</v>
      </c>
      <c r="AD161" s="30">
        <v>9.1</v>
      </c>
      <c r="AE161" s="30">
        <v>13.6</v>
      </c>
      <c r="AF161" s="30">
        <v>18.55</v>
      </c>
      <c r="AG161" s="30">
        <v>27.65</v>
      </c>
      <c r="AH161" s="30">
        <v>36.049999999999997</v>
      </c>
      <c r="AI161" s="30">
        <v>35.299999999999997</v>
      </c>
      <c r="AJ161" s="30">
        <v>25.65</v>
      </c>
      <c r="AK161" s="30">
        <v>23.25</v>
      </c>
      <c r="AL161" s="30">
        <v>23.9</v>
      </c>
      <c r="AM161" s="30">
        <v>25.35</v>
      </c>
      <c r="AN161" s="30">
        <v>26.7</v>
      </c>
      <c r="AO161" s="30">
        <v>33</v>
      </c>
      <c r="AP161" s="30">
        <v>28.75</v>
      </c>
      <c r="AQ161" s="30">
        <v>15.85</v>
      </c>
      <c r="AR161" s="30">
        <v>5.35</v>
      </c>
      <c r="AS161" s="30">
        <v>1.6</v>
      </c>
      <c r="AT161" s="30">
        <v>0.85</v>
      </c>
      <c r="AU161" s="30">
        <v>0.35</v>
      </c>
      <c r="AV161" s="30">
        <v>0.1</v>
      </c>
      <c r="AW161" s="30">
        <v>0.1</v>
      </c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>
        <v>365.25</v>
      </c>
    </row>
    <row r="162" spans="3:61" x14ac:dyDescent="0.2">
      <c r="C162" s="144" t="s">
        <v>154</v>
      </c>
      <c r="D162" s="145" t="s">
        <v>155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0.05</v>
      </c>
      <c r="M162" s="30">
        <v>0</v>
      </c>
      <c r="N162" s="30">
        <v>0.05</v>
      </c>
      <c r="O162" s="30">
        <v>0.1</v>
      </c>
      <c r="P162" s="30">
        <v>0.25</v>
      </c>
      <c r="Q162" s="30">
        <v>0.45</v>
      </c>
      <c r="R162" s="30">
        <v>0.55000000000000004</v>
      </c>
      <c r="S162" s="30">
        <v>1</v>
      </c>
      <c r="T162" s="30">
        <v>1.4</v>
      </c>
      <c r="U162" s="30">
        <v>2.2000000000000002</v>
      </c>
      <c r="V162" s="30">
        <v>3.35</v>
      </c>
      <c r="W162" s="30">
        <v>4.4000000000000004</v>
      </c>
      <c r="X162" s="30">
        <v>5.6</v>
      </c>
      <c r="Y162" s="30">
        <v>7.75</v>
      </c>
      <c r="Z162" s="30">
        <v>8.8000000000000007</v>
      </c>
      <c r="AA162" s="30">
        <v>10</v>
      </c>
      <c r="AB162" s="30">
        <v>11.05</v>
      </c>
      <c r="AC162" s="30">
        <v>15.15</v>
      </c>
      <c r="AD162" s="30">
        <v>15.25</v>
      </c>
      <c r="AE162" s="30">
        <v>18.899999999999999</v>
      </c>
      <c r="AF162" s="30">
        <v>18.149999999999999</v>
      </c>
      <c r="AG162" s="30">
        <v>20.75</v>
      </c>
      <c r="AH162" s="30">
        <v>17.55</v>
      </c>
      <c r="AI162" s="30">
        <v>18.05</v>
      </c>
      <c r="AJ162" s="30">
        <v>18.2</v>
      </c>
      <c r="AK162" s="30">
        <v>17.2</v>
      </c>
      <c r="AL162" s="30">
        <v>17.2</v>
      </c>
      <c r="AM162" s="30">
        <v>19.7</v>
      </c>
      <c r="AN162" s="30">
        <v>19.95</v>
      </c>
      <c r="AO162" s="30">
        <v>17.899999999999999</v>
      </c>
      <c r="AP162" s="30">
        <v>19.399999999999999</v>
      </c>
      <c r="AQ162" s="30">
        <v>14.2</v>
      </c>
      <c r="AR162" s="30">
        <v>12.95</v>
      </c>
      <c r="AS162" s="30">
        <v>8.75</v>
      </c>
      <c r="AT162" s="30">
        <v>7.65</v>
      </c>
      <c r="AU162" s="30">
        <v>5</v>
      </c>
      <c r="AV162" s="30">
        <v>3.4</v>
      </c>
      <c r="AW162" s="30">
        <v>1.5</v>
      </c>
      <c r="AX162" s="30">
        <v>0.7</v>
      </c>
      <c r="AY162" s="30">
        <v>0.35</v>
      </c>
      <c r="AZ162" s="30">
        <v>0.25</v>
      </c>
      <c r="BA162" s="30">
        <v>0.15</v>
      </c>
      <c r="BB162" s="30"/>
      <c r="BC162" s="30"/>
      <c r="BD162" s="30"/>
      <c r="BE162" s="30"/>
      <c r="BF162" s="30"/>
      <c r="BG162" s="30"/>
      <c r="BH162" s="30"/>
      <c r="BI162" s="30">
        <v>365.25</v>
      </c>
    </row>
    <row r="163" spans="3:61" x14ac:dyDescent="0.2">
      <c r="C163" s="144" t="s">
        <v>156</v>
      </c>
      <c r="D163" s="145" t="s">
        <v>157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0.15</v>
      </c>
      <c r="N163" s="30">
        <v>0.1</v>
      </c>
      <c r="O163" s="30">
        <v>0.3</v>
      </c>
      <c r="P163" s="30">
        <v>0.3</v>
      </c>
      <c r="Q163" s="30">
        <v>0.3</v>
      </c>
      <c r="R163" s="30">
        <v>1.2</v>
      </c>
      <c r="S163" s="30">
        <v>2.0499999999999998</v>
      </c>
      <c r="T163" s="30">
        <v>2.75</v>
      </c>
      <c r="U163" s="30">
        <v>4.0999999999999996</v>
      </c>
      <c r="V163" s="30">
        <v>6.45</v>
      </c>
      <c r="W163" s="30">
        <v>7.8</v>
      </c>
      <c r="X163" s="30">
        <v>9.0500000000000007</v>
      </c>
      <c r="Y163" s="30">
        <v>8.9499999999999993</v>
      </c>
      <c r="Z163" s="30">
        <v>12.35</v>
      </c>
      <c r="AA163" s="30">
        <v>11.95</v>
      </c>
      <c r="AB163" s="30">
        <v>15.2</v>
      </c>
      <c r="AC163" s="30">
        <v>15.55</v>
      </c>
      <c r="AD163" s="30">
        <v>16.75</v>
      </c>
      <c r="AE163" s="30">
        <v>16.3</v>
      </c>
      <c r="AF163" s="30">
        <v>17.5</v>
      </c>
      <c r="AG163" s="30">
        <v>15.4</v>
      </c>
      <c r="AH163" s="30">
        <v>14.15</v>
      </c>
      <c r="AI163" s="30">
        <v>15.9</v>
      </c>
      <c r="AJ163" s="30">
        <v>17.25</v>
      </c>
      <c r="AK163" s="30">
        <v>16.5</v>
      </c>
      <c r="AL163" s="30">
        <v>17.5</v>
      </c>
      <c r="AM163" s="30">
        <v>16.7</v>
      </c>
      <c r="AN163" s="30">
        <v>16.3</v>
      </c>
      <c r="AO163" s="30">
        <v>16.45</v>
      </c>
      <c r="AP163" s="30">
        <v>14.25</v>
      </c>
      <c r="AQ163" s="30">
        <v>12.7</v>
      </c>
      <c r="AR163" s="30">
        <v>9.9499999999999993</v>
      </c>
      <c r="AS163" s="30">
        <v>8.4499999999999993</v>
      </c>
      <c r="AT163" s="30">
        <v>9</v>
      </c>
      <c r="AU163" s="30">
        <v>6.05</v>
      </c>
      <c r="AV163" s="30">
        <v>4.4000000000000004</v>
      </c>
      <c r="AW163" s="30">
        <v>2.65</v>
      </c>
      <c r="AX163" s="30">
        <v>0.9</v>
      </c>
      <c r="AY163" s="30">
        <v>0.7</v>
      </c>
      <c r="AZ163" s="30">
        <v>0.3</v>
      </c>
      <c r="BA163" s="30">
        <v>0.2</v>
      </c>
      <c r="BB163" s="30">
        <v>0.15</v>
      </c>
      <c r="BC163" s="30">
        <v>0.3</v>
      </c>
      <c r="BD163" s="30"/>
      <c r="BE163" s="30"/>
      <c r="BF163" s="30"/>
      <c r="BG163" s="30"/>
      <c r="BH163" s="30"/>
      <c r="BI163" s="30">
        <v>365.25</v>
      </c>
    </row>
    <row r="164" spans="3:61" x14ac:dyDescent="0.2">
      <c r="C164" s="144" t="s">
        <v>158</v>
      </c>
      <c r="D164" s="145" t="s">
        <v>159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0.15</v>
      </c>
      <c r="Q164" s="30">
        <v>0</v>
      </c>
      <c r="R164" s="30">
        <v>0.1</v>
      </c>
      <c r="S164" s="30">
        <v>0.15</v>
      </c>
      <c r="T164" s="30">
        <v>0.3</v>
      </c>
      <c r="U164" s="30">
        <v>0.6</v>
      </c>
      <c r="V164" s="30">
        <v>1.4</v>
      </c>
      <c r="W164" s="30">
        <v>2.5</v>
      </c>
      <c r="X164" s="30">
        <v>3.55</v>
      </c>
      <c r="Y164" s="30">
        <v>4.1500000000000004</v>
      </c>
      <c r="Z164" s="30">
        <v>7.4</v>
      </c>
      <c r="AA164" s="30">
        <v>7.1</v>
      </c>
      <c r="AB164" s="30">
        <v>8.6</v>
      </c>
      <c r="AC164" s="30">
        <v>11.75</v>
      </c>
      <c r="AD164" s="30">
        <v>14.75</v>
      </c>
      <c r="AE164" s="30">
        <v>16.8</v>
      </c>
      <c r="AF164" s="30">
        <v>19.649999999999999</v>
      </c>
      <c r="AG164" s="30">
        <v>22.45</v>
      </c>
      <c r="AH164" s="30">
        <v>21.45</v>
      </c>
      <c r="AI164" s="30">
        <v>21.55</v>
      </c>
      <c r="AJ164" s="30">
        <v>20.8</v>
      </c>
      <c r="AK164" s="30">
        <v>19.850000000000001</v>
      </c>
      <c r="AL164" s="30">
        <v>19.05</v>
      </c>
      <c r="AM164" s="30">
        <v>19.2</v>
      </c>
      <c r="AN164" s="30">
        <v>20.05</v>
      </c>
      <c r="AO164" s="30">
        <v>21.6</v>
      </c>
      <c r="AP164" s="30">
        <v>19.649999999999999</v>
      </c>
      <c r="AQ164" s="30">
        <v>16.7</v>
      </c>
      <c r="AR164" s="30">
        <v>14.3</v>
      </c>
      <c r="AS164" s="30">
        <v>9.9499999999999993</v>
      </c>
      <c r="AT164" s="30">
        <v>6.55</v>
      </c>
      <c r="AU164" s="30">
        <v>5.3</v>
      </c>
      <c r="AV164" s="30">
        <v>2.75</v>
      </c>
      <c r="AW164" s="30">
        <v>2.75</v>
      </c>
      <c r="AX164" s="30">
        <v>1.1499999999999999</v>
      </c>
      <c r="AY164" s="30">
        <v>0.7</v>
      </c>
      <c r="AZ164" s="30">
        <v>0.2</v>
      </c>
      <c r="BA164" s="30">
        <v>0.2</v>
      </c>
      <c r="BB164" s="30">
        <v>0.05</v>
      </c>
      <c r="BC164" s="30">
        <v>0.05</v>
      </c>
      <c r="BD164" s="30"/>
      <c r="BE164" s="30"/>
      <c r="BF164" s="30"/>
      <c r="BG164" s="30"/>
      <c r="BH164" s="30"/>
      <c r="BI164" s="30">
        <v>365.25</v>
      </c>
    </row>
    <row r="165" spans="3:61" x14ac:dyDescent="0.2">
      <c r="C165" s="144" t="s">
        <v>160</v>
      </c>
      <c r="D165" s="145" t="s">
        <v>161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0.15</v>
      </c>
      <c r="M165" s="30">
        <v>0</v>
      </c>
      <c r="N165" s="30">
        <v>0.15</v>
      </c>
      <c r="O165" s="30">
        <v>0.15</v>
      </c>
      <c r="P165" s="30">
        <v>0.25</v>
      </c>
      <c r="Q165" s="30">
        <v>0.65</v>
      </c>
      <c r="R165" s="30">
        <v>1.1499999999999999</v>
      </c>
      <c r="S165" s="30">
        <v>1.3</v>
      </c>
      <c r="T165" s="30">
        <v>2.4500000000000002</v>
      </c>
      <c r="U165" s="30">
        <v>3.2</v>
      </c>
      <c r="V165" s="30">
        <v>4</v>
      </c>
      <c r="W165" s="30">
        <v>5.0999999999999996</v>
      </c>
      <c r="X165" s="30">
        <v>7.25</v>
      </c>
      <c r="Y165" s="30">
        <v>8.65</v>
      </c>
      <c r="Z165" s="30">
        <v>9.6999999999999993</v>
      </c>
      <c r="AA165" s="30">
        <v>10.3</v>
      </c>
      <c r="AB165" s="30">
        <v>13.85</v>
      </c>
      <c r="AC165" s="30">
        <v>14.2</v>
      </c>
      <c r="AD165" s="30">
        <v>16</v>
      </c>
      <c r="AE165" s="30">
        <v>16.05</v>
      </c>
      <c r="AF165" s="30">
        <v>16.95</v>
      </c>
      <c r="AG165" s="30">
        <v>16.600000000000001</v>
      </c>
      <c r="AH165" s="30">
        <v>18.350000000000001</v>
      </c>
      <c r="AI165" s="30">
        <v>16.45</v>
      </c>
      <c r="AJ165" s="30">
        <v>15.85</v>
      </c>
      <c r="AK165" s="30">
        <v>15.25</v>
      </c>
      <c r="AL165" s="30">
        <v>17.75</v>
      </c>
      <c r="AM165" s="30">
        <v>16.8</v>
      </c>
      <c r="AN165" s="30">
        <v>18.350000000000001</v>
      </c>
      <c r="AO165" s="30">
        <v>16.75</v>
      </c>
      <c r="AP165" s="30">
        <v>16.399999999999999</v>
      </c>
      <c r="AQ165" s="30">
        <v>13.7</v>
      </c>
      <c r="AR165" s="30">
        <v>12.55</v>
      </c>
      <c r="AS165" s="30">
        <v>10.8</v>
      </c>
      <c r="AT165" s="30">
        <v>10.45</v>
      </c>
      <c r="AU165" s="30">
        <v>7.25</v>
      </c>
      <c r="AV165" s="30">
        <v>5.25</v>
      </c>
      <c r="AW165" s="30">
        <v>2.7</v>
      </c>
      <c r="AX165" s="30">
        <v>1.05</v>
      </c>
      <c r="AY165" s="30">
        <v>0.7</v>
      </c>
      <c r="AZ165" s="30">
        <v>0.35</v>
      </c>
      <c r="BA165" s="30">
        <v>0.3</v>
      </c>
      <c r="BB165" s="30">
        <v>0.1</v>
      </c>
      <c r="BC165" s="30"/>
      <c r="BD165" s="30"/>
      <c r="BE165" s="30"/>
      <c r="BF165" s="30"/>
      <c r="BG165" s="30"/>
      <c r="BH165" s="30"/>
      <c r="BI165" s="30">
        <v>365.25</v>
      </c>
    </row>
    <row r="166" spans="3:61" x14ac:dyDescent="0.2">
      <c r="C166" s="144" t="s">
        <v>162</v>
      </c>
      <c r="D166" s="145" t="s">
        <v>163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0.05</v>
      </c>
      <c r="K166" s="30">
        <v>0</v>
      </c>
      <c r="L166" s="30">
        <v>0.15</v>
      </c>
      <c r="M166" s="30">
        <v>0</v>
      </c>
      <c r="N166" s="30">
        <v>0.25</v>
      </c>
      <c r="O166" s="30">
        <v>0.1</v>
      </c>
      <c r="P166" s="30">
        <v>0.6</v>
      </c>
      <c r="Q166" s="30">
        <v>0.95</v>
      </c>
      <c r="R166" s="30">
        <v>1.55</v>
      </c>
      <c r="S166" s="30">
        <v>1.6</v>
      </c>
      <c r="T166" s="30">
        <v>2.2999999999999998</v>
      </c>
      <c r="U166" s="30">
        <v>3.8</v>
      </c>
      <c r="V166" s="30">
        <v>5.05</v>
      </c>
      <c r="W166" s="30">
        <v>6.5</v>
      </c>
      <c r="X166" s="30">
        <v>8.1</v>
      </c>
      <c r="Y166" s="30">
        <v>8.5</v>
      </c>
      <c r="Z166" s="30">
        <v>11.3</v>
      </c>
      <c r="AA166" s="30">
        <v>13.35</v>
      </c>
      <c r="AB166" s="30">
        <v>13.95</v>
      </c>
      <c r="AC166" s="30">
        <v>15.65</v>
      </c>
      <c r="AD166" s="30">
        <v>16.5</v>
      </c>
      <c r="AE166" s="30">
        <v>18.399999999999999</v>
      </c>
      <c r="AF166" s="30">
        <v>17.8</v>
      </c>
      <c r="AG166" s="30">
        <v>19.3</v>
      </c>
      <c r="AH166" s="30">
        <v>16.399999999999999</v>
      </c>
      <c r="AI166" s="30">
        <v>17.7</v>
      </c>
      <c r="AJ166" s="30">
        <v>16.350000000000001</v>
      </c>
      <c r="AK166" s="30">
        <v>18.75</v>
      </c>
      <c r="AL166" s="30">
        <v>18.3</v>
      </c>
      <c r="AM166" s="30">
        <v>17.45</v>
      </c>
      <c r="AN166" s="30">
        <v>18.100000000000001</v>
      </c>
      <c r="AO166" s="30">
        <v>16.899999999999999</v>
      </c>
      <c r="AP166" s="30">
        <v>13.7</v>
      </c>
      <c r="AQ166" s="30">
        <v>13.1</v>
      </c>
      <c r="AR166" s="30">
        <v>10.4</v>
      </c>
      <c r="AS166" s="30">
        <v>8.75</v>
      </c>
      <c r="AT166" s="30">
        <v>5.6</v>
      </c>
      <c r="AU166" s="30">
        <v>3.9</v>
      </c>
      <c r="AV166" s="30">
        <v>2.0499999999999998</v>
      </c>
      <c r="AW166" s="30">
        <v>0.95</v>
      </c>
      <c r="AX166" s="30">
        <v>0.5</v>
      </c>
      <c r="AY166" s="30">
        <v>0.2</v>
      </c>
      <c r="AZ166" s="30">
        <v>0.3</v>
      </c>
      <c r="BA166" s="30">
        <v>0.1</v>
      </c>
      <c r="BB166" s="30"/>
      <c r="BC166" s="30"/>
      <c r="BD166" s="30"/>
      <c r="BE166" s="30"/>
      <c r="BF166" s="30"/>
      <c r="BG166" s="30"/>
      <c r="BH166" s="30"/>
      <c r="BI166" s="30">
        <v>365.25</v>
      </c>
    </row>
    <row r="167" spans="3:61" x14ac:dyDescent="0.2">
      <c r="C167" s="144" t="s">
        <v>164</v>
      </c>
      <c r="D167" s="145" t="s">
        <v>165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0.15</v>
      </c>
      <c r="S167" s="30">
        <v>0</v>
      </c>
      <c r="T167" s="30">
        <v>0</v>
      </c>
      <c r="U167" s="30">
        <v>0.25</v>
      </c>
      <c r="V167" s="30">
        <v>0.2</v>
      </c>
      <c r="W167" s="30">
        <v>0.95</v>
      </c>
      <c r="X167" s="30">
        <v>1.45</v>
      </c>
      <c r="Y167" s="30">
        <v>2.2000000000000002</v>
      </c>
      <c r="Z167" s="30">
        <v>3.2</v>
      </c>
      <c r="AA167" s="30">
        <v>6.05</v>
      </c>
      <c r="AB167" s="30">
        <v>5.75</v>
      </c>
      <c r="AC167" s="30">
        <v>8.8000000000000007</v>
      </c>
      <c r="AD167" s="30">
        <v>12.05</v>
      </c>
      <c r="AE167" s="30">
        <v>15.6</v>
      </c>
      <c r="AF167" s="30">
        <v>17.7</v>
      </c>
      <c r="AG167" s="30">
        <v>21</v>
      </c>
      <c r="AH167" s="30">
        <v>26.55</v>
      </c>
      <c r="AI167" s="30">
        <v>29.5</v>
      </c>
      <c r="AJ167" s="30">
        <v>27.1</v>
      </c>
      <c r="AK167" s="30">
        <v>22.7</v>
      </c>
      <c r="AL167" s="30">
        <v>23.55</v>
      </c>
      <c r="AM167" s="30">
        <v>23.15</v>
      </c>
      <c r="AN167" s="30">
        <v>23.25</v>
      </c>
      <c r="AO167" s="30">
        <v>25.95</v>
      </c>
      <c r="AP167" s="30">
        <v>20.45</v>
      </c>
      <c r="AQ167" s="30">
        <v>17.8</v>
      </c>
      <c r="AR167" s="30">
        <v>11.2</v>
      </c>
      <c r="AS167" s="30">
        <v>6.7</v>
      </c>
      <c r="AT167" s="30">
        <v>4.95</v>
      </c>
      <c r="AU167" s="30">
        <v>2.7</v>
      </c>
      <c r="AV167" s="30">
        <v>2.5499999999999998</v>
      </c>
      <c r="AW167" s="30">
        <v>0.6</v>
      </c>
      <c r="AX167" s="30">
        <v>0.4</v>
      </c>
      <c r="AY167" s="30">
        <v>0.5</v>
      </c>
      <c r="AZ167" s="30">
        <v>0.2</v>
      </c>
      <c r="BA167" s="30"/>
      <c r="BB167" s="30">
        <v>0.1</v>
      </c>
      <c r="BC167" s="30"/>
      <c r="BD167" s="30"/>
      <c r="BE167" s="30"/>
      <c r="BF167" s="30"/>
      <c r="BG167" s="30"/>
      <c r="BH167" s="30"/>
      <c r="BI167" s="30">
        <v>365.25</v>
      </c>
    </row>
    <row r="168" spans="3:61" x14ac:dyDescent="0.2">
      <c r="C168" s="144" t="s">
        <v>166</v>
      </c>
      <c r="D168" s="145" t="s">
        <v>167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>
        <v>0.1</v>
      </c>
      <c r="N168" s="30">
        <v>0</v>
      </c>
      <c r="O168" s="30">
        <v>0.25</v>
      </c>
      <c r="P168" s="30">
        <v>0.15</v>
      </c>
      <c r="Q168" s="30">
        <v>0.35</v>
      </c>
      <c r="R168" s="30">
        <v>0.9</v>
      </c>
      <c r="S168" s="30">
        <v>1.1000000000000001</v>
      </c>
      <c r="T168" s="30">
        <v>2.2999999999999998</v>
      </c>
      <c r="U168" s="30">
        <v>2.4500000000000002</v>
      </c>
      <c r="V168" s="30">
        <v>3.8</v>
      </c>
      <c r="W168" s="30">
        <v>5.4</v>
      </c>
      <c r="X168" s="30">
        <v>6.5</v>
      </c>
      <c r="Y168" s="30">
        <v>8.15</v>
      </c>
      <c r="Z168" s="30">
        <v>9.9</v>
      </c>
      <c r="AA168" s="30">
        <v>10.35</v>
      </c>
      <c r="AB168" s="30">
        <v>13</v>
      </c>
      <c r="AC168" s="30">
        <v>15.1</v>
      </c>
      <c r="AD168" s="30">
        <v>16.25</v>
      </c>
      <c r="AE168" s="30">
        <v>16.850000000000001</v>
      </c>
      <c r="AF168" s="30">
        <v>16.05</v>
      </c>
      <c r="AG168" s="30">
        <v>18.649999999999999</v>
      </c>
      <c r="AH168" s="30">
        <v>15.5</v>
      </c>
      <c r="AI168" s="30">
        <v>16.399999999999999</v>
      </c>
      <c r="AJ168" s="30">
        <v>16.850000000000001</v>
      </c>
      <c r="AK168" s="30">
        <v>14.9</v>
      </c>
      <c r="AL168" s="30">
        <v>17.2</v>
      </c>
      <c r="AM168" s="30">
        <v>17</v>
      </c>
      <c r="AN168" s="30">
        <v>17.45</v>
      </c>
      <c r="AO168" s="30">
        <v>17.3</v>
      </c>
      <c r="AP168" s="30">
        <v>16.399999999999999</v>
      </c>
      <c r="AQ168" s="30">
        <v>14.65</v>
      </c>
      <c r="AR168" s="30">
        <v>12.55</v>
      </c>
      <c r="AS168" s="30">
        <v>11.4</v>
      </c>
      <c r="AT168" s="30">
        <v>9.1</v>
      </c>
      <c r="AU168" s="30">
        <v>8</v>
      </c>
      <c r="AV168" s="30">
        <v>5.9</v>
      </c>
      <c r="AW168" s="30">
        <v>3.65</v>
      </c>
      <c r="AX168" s="30">
        <v>1.5</v>
      </c>
      <c r="AY168" s="30">
        <v>1</v>
      </c>
      <c r="AZ168" s="30">
        <v>0.3</v>
      </c>
      <c r="BA168" s="30">
        <v>0.3</v>
      </c>
      <c r="BB168" s="30">
        <v>0.2</v>
      </c>
      <c r="BC168" s="30">
        <v>0.1</v>
      </c>
      <c r="BD168" s="30"/>
      <c r="BE168" s="30"/>
      <c r="BF168" s="30"/>
      <c r="BG168" s="30"/>
      <c r="BH168" s="30"/>
      <c r="BI168" s="30">
        <v>365.25</v>
      </c>
    </row>
    <row r="169" spans="3:61" x14ac:dyDescent="0.2">
      <c r="C169" s="144" t="s">
        <v>168</v>
      </c>
      <c r="D169" s="145" t="s">
        <v>169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0.1</v>
      </c>
      <c r="P169" s="30">
        <v>0.1</v>
      </c>
      <c r="Q169" s="30">
        <v>0.35</v>
      </c>
      <c r="R169" s="30">
        <v>0.5</v>
      </c>
      <c r="S169" s="30">
        <v>0.75</v>
      </c>
      <c r="T169" s="30">
        <v>1.2</v>
      </c>
      <c r="U169" s="30">
        <v>2.1</v>
      </c>
      <c r="V169" s="30">
        <v>3.4</v>
      </c>
      <c r="W169" s="30">
        <v>4.45</v>
      </c>
      <c r="X169" s="30">
        <v>6.45</v>
      </c>
      <c r="Y169" s="30">
        <v>6.7</v>
      </c>
      <c r="Z169" s="30">
        <v>7.8</v>
      </c>
      <c r="AA169" s="30">
        <v>11</v>
      </c>
      <c r="AB169" s="30">
        <v>11</v>
      </c>
      <c r="AC169" s="30">
        <v>13.45</v>
      </c>
      <c r="AD169" s="30">
        <v>15</v>
      </c>
      <c r="AE169" s="30">
        <v>16.2</v>
      </c>
      <c r="AF169" s="30">
        <v>18.95</v>
      </c>
      <c r="AG169" s="30">
        <v>19.55</v>
      </c>
      <c r="AH169" s="30">
        <v>18.25</v>
      </c>
      <c r="AI169" s="30">
        <v>19.3</v>
      </c>
      <c r="AJ169" s="30">
        <v>17.350000000000001</v>
      </c>
      <c r="AK169" s="30">
        <v>17.75</v>
      </c>
      <c r="AL169" s="30">
        <v>18.05</v>
      </c>
      <c r="AM169" s="30">
        <v>17.850000000000001</v>
      </c>
      <c r="AN169" s="30">
        <v>19.899999999999999</v>
      </c>
      <c r="AO169" s="30">
        <v>17.5</v>
      </c>
      <c r="AP169" s="30">
        <v>16.8</v>
      </c>
      <c r="AQ169" s="30">
        <v>14.6</v>
      </c>
      <c r="AR169" s="30">
        <v>14.25</v>
      </c>
      <c r="AS169" s="30">
        <v>10.95</v>
      </c>
      <c r="AT169" s="30">
        <v>9.3000000000000007</v>
      </c>
      <c r="AU169" s="30">
        <v>6.25</v>
      </c>
      <c r="AV169" s="30">
        <v>3.65</v>
      </c>
      <c r="AW169" s="30">
        <v>1.9</v>
      </c>
      <c r="AX169" s="30">
        <v>1.1000000000000001</v>
      </c>
      <c r="AY169" s="30">
        <v>0.7</v>
      </c>
      <c r="AZ169" s="30">
        <v>0.5</v>
      </c>
      <c r="BA169" s="30">
        <v>0.25</v>
      </c>
      <c r="BB169" s="30"/>
      <c r="BC169" s="30"/>
      <c r="BD169" s="30"/>
      <c r="BE169" s="30"/>
      <c r="BF169" s="30"/>
      <c r="BG169" s="30"/>
      <c r="BH169" s="30"/>
      <c r="BI169" s="30">
        <v>365.25</v>
      </c>
    </row>
    <row r="170" spans="3:61" x14ac:dyDescent="0.2">
      <c r="C170" s="144" t="s">
        <v>170</v>
      </c>
      <c r="D170" s="145" t="s">
        <v>451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146">
        <v>0.05</v>
      </c>
      <c r="O170" s="146">
        <v>0.1</v>
      </c>
      <c r="P170" s="146"/>
      <c r="Q170" s="146">
        <v>0.2</v>
      </c>
      <c r="R170" s="146">
        <v>0.2</v>
      </c>
      <c r="S170" s="146">
        <v>0.35</v>
      </c>
      <c r="T170" s="146">
        <v>0.65</v>
      </c>
      <c r="U170" s="146">
        <v>1.85</v>
      </c>
      <c r="V170" s="146">
        <v>2.4</v>
      </c>
      <c r="W170" s="146">
        <v>3.05</v>
      </c>
      <c r="X170" s="146">
        <v>4.8499999999999996</v>
      </c>
      <c r="Y170" s="146">
        <v>6.4</v>
      </c>
      <c r="Z170" s="146">
        <v>7.65</v>
      </c>
      <c r="AA170" s="146">
        <v>9.4</v>
      </c>
      <c r="AB170" s="146">
        <v>11.75</v>
      </c>
      <c r="AC170" s="146">
        <v>13.85</v>
      </c>
      <c r="AD170" s="146">
        <v>17.3</v>
      </c>
      <c r="AE170" s="146">
        <v>18.05</v>
      </c>
      <c r="AF170" s="146">
        <v>19.3</v>
      </c>
      <c r="AG170" s="146">
        <v>21.1</v>
      </c>
      <c r="AH170" s="146">
        <v>19.149999999999999</v>
      </c>
      <c r="AI170" s="146">
        <v>19.45</v>
      </c>
      <c r="AJ170" s="146">
        <v>19.05</v>
      </c>
      <c r="AK170" s="146">
        <v>18.2</v>
      </c>
      <c r="AL170" s="146">
        <v>18.100000000000001</v>
      </c>
      <c r="AM170" s="146">
        <v>20.25</v>
      </c>
      <c r="AN170" s="146">
        <v>19.8</v>
      </c>
      <c r="AO170" s="146">
        <v>19.399999999999999</v>
      </c>
      <c r="AP170" s="146">
        <v>18.899999999999999</v>
      </c>
      <c r="AQ170" s="146">
        <v>15.35</v>
      </c>
      <c r="AR170" s="146">
        <v>12.1</v>
      </c>
      <c r="AS170" s="146">
        <v>9.35</v>
      </c>
      <c r="AT170" s="146">
        <v>5.9</v>
      </c>
      <c r="AU170" s="146">
        <v>4.55</v>
      </c>
      <c r="AV170" s="146">
        <v>3.25</v>
      </c>
      <c r="AW170" s="146">
        <v>2.2999999999999998</v>
      </c>
      <c r="AX170" s="146">
        <v>0.75</v>
      </c>
      <c r="AY170" s="146">
        <v>0.5</v>
      </c>
      <c r="AZ170" s="146">
        <v>0.3</v>
      </c>
      <c r="BA170" s="146">
        <v>0.1</v>
      </c>
      <c r="BB170" s="146"/>
      <c r="BC170" s="146"/>
      <c r="BD170" s="146"/>
      <c r="BE170" s="146"/>
      <c r="BF170" s="146"/>
      <c r="BG170" s="146"/>
      <c r="BH170" s="146"/>
      <c r="BI170" s="147">
        <v>365</v>
      </c>
    </row>
    <row r="171" spans="3:61" x14ac:dyDescent="0.2">
      <c r="C171" s="144" t="s">
        <v>171</v>
      </c>
      <c r="D171" s="145" t="s">
        <v>172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>
        <v>0.05</v>
      </c>
      <c r="N171" s="30">
        <v>0</v>
      </c>
      <c r="O171" s="30">
        <v>0.15</v>
      </c>
      <c r="P171" s="30">
        <v>0.15</v>
      </c>
      <c r="Q171" s="30">
        <v>0.15</v>
      </c>
      <c r="R171" s="30">
        <v>0.35</v>
      </c>
      <c r="S171" s="30">
        <v>0.5</v>
      </c>
      <c r="T171" s="30">
        <v>0.6</v>
      </c>
      <c r="U171" s="30">
        <v>2.2000000000000002</v>
      </c>
      <c r="V171" s="30">
        <v>1.9</v>
      </c>
      <c r="W171" s="30">
        <v>3.85</v>
      </c>
      <c r="X171" s="30">
        <v>5.35</v>
      </c>
      <c r="Y171" s="30">
        <v>6.9</v>
      </c>
      <c r="Z171" s="30">
        <v>8.35</v>
      </c>
      <c r="AA171" s="30">
        <v>10.1</v>
      </c>
      <c r="AB171" s="30">
        <v>11.95</v>
      </c>
      <c r="AC171" s="30">
        <v>14.5</v>
      </c>
      <c r="AD171" s="30">
        <v>16</v>
      </c>
      <c r="AE171" s="30">
        <v>16</v>
      </c>
      <c r="AF171" s="30">
        <v>20.95</v>
      </c>
      <c r="AG171" s="30">
        <v>22.05</v>
      </c>
      <c r="AH171" s="30">
        <v>18.5</v>
      </c>
      <c r="AI171" s="30">
        <v>19.75</v>
      </c>
      <c r="AJ171" s="30">
        <v>18.2</v>
      </c>
      <c r="AK171" s="30">
        <v>19.399999999999999</v>
      </c>
      <c r="AL171" s="30">
        <v>18.25</v>
      </c>
      <c r="AM171" s="30">
        <v>19.3</v>
      </c>
      <c r="AN171" s="30">
        <v>21.85</v>
      </c>
      <c r="AO171" s="30">
        <v>18.8</v>
      </c>
      <c r="AP171" s="30">
        <v>18.75</v>
      </c>
      <c r="AQ171" s="30">
        <v>14.7</v>
      </c>
      <c r="AR171" s="30">
        <v>11.7</v>
      </c>
      <c r="AS171" s="30">
        <v>8</v>
      </c>
      <c r="AT171" s="30">
        <v>6</v>
      </c>
      <c r="AU171" s="30">
        <v>3.95</v>
      </c>
      <c r="AV171" s="30">
        <v>2.95</v>
      </c>
      <c r="AW171" s="30">
        <v>1.55</v>
      </c>
      <c r="AX171" s="30">
        <v>0.6</v>
      </c>
      <c r="AY171" s="30">
        <v>0.6</v>
      </c>
      <c r="AZ171" s="30">
        <v>0.15</v>
      </c>
      <c r="BA171" s="30">
        <v>0.15</v>
      </c>
      <c r="BB171" s="30">
        <v>0.05</v>
      </c>
      <c r="BC171" s="30"/>
      <c r="BD171" s="30"/>
      <c r="BE171" s="30"/>
      <c r="BF171" s="30"/>
      <c r="BG171" s="30"/>
      <c r="BH171" s="30"/>
      <c r="BI171" s="30">
        <v>365.25</v>
      </c>
    </row>
    <row r="172" spans="3:61" x14ac:dyDescent="0.2">
      <c r="C172" s="144" t="s">
        <v>173</v>
      </c>
      <c r="D172" s="145" t="s">
        <v>174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0.05</v>
      </c>
      <c r="O172" s="30">
        <v>0.1</v>
      </c>
      <c r="P172" s="30">
        <v>0</v>
      </c>
      <c r="Q172" s="30">
        <v>0.05</v>
      </c>
      <c r="R172" s="30">
        <v>0.05</v>
      </c>
      <c r="S172" s="30">
        <v>0.25</v>
      </c>
      <c r="T172" s="30">
        <v>0.5</v>
      </c>
      <c r="U172" s="30">
        <v>1.2</v>
      </c>
      <c r="V172" s="30">
        <v>2.1</v>
      </c>
      <c r="W172" s="30">
        <v>3.15</v>
      </c>
      <c r="X172" s="30">
        <v>3.85</v>
      </c>
      <c r="Y172" s="30">
        <v>5.85</v>
      </c>
      <c r="Z172" s="30">
        <v>7.2</v>
      </c>
      <c r="AA172" s="30">
        <v>8.9</v>
      </c>
      <c r="AB172" s="30">
        <v>11.3</v>
      </c>
      <c r="AC172" s="30">
        <v>14.25</v>
      </c>
      <c r="AD172" s="30">
        <v>15.3</v>
      </c>
      <c r="AE172" s="30">
        <v>18.55</v>
      </c>
      <c r="AF172" s="30">
        <v>19.45</v>
      </c>
      <c r="AG172" s="30">
        <v>23.45</v>
      </c>
      <c r="AH172" s="30">
        <v>21.6</v>
      </c>
      <c r="AI172" s="30">
        <v>19.95</v>
      </c>
      <c r="AJ172" s="30">
        <v>19.899999999999999</v>
      </c>
      <c r="AK172" s="30">
        <v>18.5</v>
      </c>
      <c r="AL172" s="30">
        <v>19.2</v>
      </c>
      <c r="AM172" s="30">
        <v>19.850000000000001</v>
      </c>
      <c r="AN172" s="30">
        <v>21.35</v>
      </c>
      <c r="AO172" s="30">
        <v>19.95</v>
      </c>
      <c r="AP172" s="30">
        <v>17.350000000000001</v>
      </c>
      <c r="AQ172" s="30">
        <v>16.100000000000001</v>
      </c>
      <c r="AR172" s="30">
        <v>11.5</v>
      </c>
      <c r="AS172" s="30">
        <v>8.25</v>
      </c>
      <c r="AT172" s="30">
        <v>5.65</v>
      </c>
      <c r="AU172" s="30">
        <v>4.5</v>
      </c>
      <c r="AV172" s="30">
        <v>2.85</v>
      </c>
      <c r="AW172" s="30">
        <v>1.55</v>
      </c>
      <c r="AX172" s="30">
        <v>0.85</v>
      </c>
      <c r="AY172" s="30">
        <v>0.35</v>
      </c>
      <c r="AZ172" s="30">
        <v>0.25</v>
      </c>
      <c r="BA172" s="30">
        <v>0.15</v>
      </c>
      <c r="BB172" s="30">
        <v>0.05</v>
      </c>
      <c r="BC172" s="30"/>
      <c r="BD172" s="30"/>
      <c r="BE172" s="30"/>
      <c r="BF172" s="30"/>
      <c r="BG172" s="30"/>
      <c r="BH172" s="30"/>
      <c r="BI172" s="30">
        <v>365.25</v>
      </c>
    </row>
    <row r="173" spans="3:61" x14ac:dyDescent="0.2">
      <c r="C173" s="144" t="s">
        <v>175</v>
      </c>
      <c r="D173" s="145" t="s">
        <v>451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146">
        <v>0.05</v>
      </c>
      <c r="O173" s="146">
        <v>0.1</v>
      </c>
      <c r="P173" s="146"/>
      <c r="Q173" s="146">
        <v>0.2</v>
      </c>
      <c r="R173" s="146">
        <v>0.2</v>
      </c>
      <c r="S173" s="146">
        <v>0.35</v>
      </c>
      <c r="T173" s="146">
        <v>0.65</v>
      </c>
      <c r="U173" s="146">
        <v>1.85</v>
      </c>
      <c r="V173" s="146">
        <v>2.4</v>
      </c>
      <c r="W173" s="146">
        <v>3.05</v>
      </c>
      <c r="X173" s="146">
        <v>4.8499999999999996</v>
      </c>
      <c r="Y173" s="146">
        <v>6.4</v>
      </c>
      <c r="Z173" s="146">
        <v>7.65</v>
      </c>
      <c r="AA173" s="146">
        <v>9.4</v>
      </c>
      <c r="AB173" s="146">
        <v>11.75</v>
      </c>
      <c r="AC173" s="146">
        <v>13.85</v>
      </c>
      <c r="AD173" s="146">
        <v>17.3</v>
      </c>
      <c r="AE173" s="146">
        <v>18.05</v>
      </c>
      <c r="AF173" s="146">
        <v>19.3</v>
      </c>
      <c r="AG173" s="146">
        <v>21.1</v>
      </c>
      <c r="AH173" s="146">
        <v>19.149999999999999</v>
      </c>
      <c r="AI173" s="146">
        <v>19.45</v>
      </c>
      <c r="AJ173" s="146">
        <v>19.05</v>
      </c>
      <c r="AK173" s="146">
        <v>18.2</v>
      </c>
      <c r="AL173" s="146">
        <v>18.100000000000001</v>
      </c>
      <c r="AM173" s="146">
        <v>20.25</v>
      </c>
      <c r="AN173" s="146">
        <v>19.8</v>
      </c>
      <c r="AO173" s="146">
        <v>19.399999999999999</v>
      </c>
      <c r="AP173" s="146">
        <v>18.899999999999999</v>
      </c>
      <c r="AQ173" s="146">
        <v>15.35</v>
      </c>
      <c r="AR173" s="146">
        <v>12.1</v>
      </c>
      <c r="AS173" s="146">
        <v>9.35</v>
      </c>
      <c r="AT173" s="146">
        <v>5.9</v>
      </c>
      <c r="AU173" s="146">
        <v>4.55</v>
      </c>
      <c r="AV173" s="146">
        <v>3.25</v>
      </c>
      <c r="AW173" s="146">
        <v>2.2999999999999998</v>
      </c>
      <c r="AX173" s="146">
        <v>0.75</v>
      </c>
      <c r="AY173" s="146">
        <v>0.5</v>
      </c>
      <c r="AZ173" s="146">
        <v>0.3</v>
      </c>
      <c r="BA173" s="146">
        <v>0.1</v>
      </c>
      <c r="BB173" s="146"/>
      <c r="BC173" s="146"/>
      <c r="BD173" s="146"/>
      <c r="BE173" s="146"/>
      <c r="BF173" s="146"/>
      <c r="BG173" s="146"/>
      <c r="BH173" s="146"/>
      <c r="BI173" s="147">
        <v>365</v>
      </c>
    </row>
    <row r="174" spans="3:61" x14ac:dyDescent="0.2">
      <c r="C174" s="144" t="s">
        <v>176</v>
      </c>
      <c r="D174" s="145" t="s">
        <v>177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0.2</v>
      </c>
      <c r="Q174" s="30">
        <v>0.5</v>
      </c>
      <c r="R174" s="30">
        <v>0.35</v>
      </c>
      <c r="S174" s="30">
        <v>1.1499999999999999</v>
      </c>
      <c r="T174" s="30">
        <v>0.9</v>
      </c>
      <c r="U174" s="30">
        <v>2.15</v>
      </c>
      <c r="V174" s="30">
        <v>2.9</v>
      </c>
      <c r="W174" s="30">
        <v>3.8</v>
      </c>
      <c r="X174" s="30">
        <v>5.45</v>
      </c>
      <c r="Y174" s="30">
        <v>6.55</v>
      </c>
      <c r="Z174" s="30">
        <v>7.65</v>
      </c>
      <c r="AA174" s="30">
        <v>9.25</v>
      </c>
      <c r="AB174" s="30">
        <v>9.25</v>
      </c>
      <c r="AC174" s="30">
        <v>12.15</v>
      </c>
      <c r="AD174" s="30">
        <v>13.2</v>
      </c>
      <c r="AE174" s="30">
        <v>16.55</v>
      </c>
      <c r="AF174" s="30">
        <v>15.35</v>
      </c>
      <c r="AG174" s="30">
        <v>18.649999999999999</v>
      </c>
      <c r="AH174" s="30">
        <v>15.2</v>
      </c>
      <c r="AI174" s="30">
        <v>19.850000000000001</v>
      </c>
      <c r="AJ174" s="30">
        <v>18.100000000000001</v>
      </c>
      <c r="AK174" s="30">
        <v>17.649999999999999</v>
      </c>
      <c r="AL174" s="30">
        <v>17.55</v>
      </c>
      <c r="AM174" s="30">
        <v>17.149999999999999</v>
      </c>
      <c r="AN174" s="30">
        <v>17.25</v>
      </c>
      <c r="AO174" s="30">
        <v>16.8</v>
      </c>
      <c r="AP174" s="30">
        <v>18.45</v>
      </c>
      <c r="AQ174" s="30">
        <v>16.3</v>
      </c>
      <c r="AR174" s="30">
        <v>14.25</v>
      </c>
      <c r="AS174" s="30">
        <v>13.05</v>
      </c>
      <c r="AT174" s="30">
        <v>11.45</v>
      </c>
      <c r="AU174" s="30">
        <v>8.6999999999999993</v>
      </c>
      <c r="AV174" s="30">
        <v>6.4</v>
      </c>
      <c r="AW174" s="30">
        <v>4.45</v>
      </c>
      <c r="AX174" s="30">
        <v>3</v>
      </c>
      <c r="AY174" s="30">
        <v>1.85</v>
      </c>
      <c r="AZ174" s="30">
        <v>0.85</v>
      </c>
      <c r="BA174" s="30">
        <v>0.5</v>
      </c>
      <c r="BB174" s="30">
        <v>0.35</v>
      </c>
      <c r="BC174" s="30">
        <v>0.1</v>
      </c>
      <c r="BD174" s="30"/>
      <c r="BE174" s="30"/>
      <c r="BF174" s="30"/>
      <c r="BG174" s="30"/>
      <c r="BH174" s="30"/>
      <c r="BI174" s="30">
        <v>365.25</v>
      </c>
    </row>
    <row r="175" spans="3:61" x14ac:dyDescent="0.2">
      <c r="C175" s="144" t="s">
        <v>178</v>
      </c>
      <c r="D175" s="145" t="s">
        <v>179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0.05</v>
      </c>
      <c r="V175" s="30">
        <v>0.25</v>
      </c>
      <c r="W175" s="30">
        <v>0.65</v>
      </c>
      <c r="X175" s="30">
        <v>0.7</v>
      </c>
      <c r="Y175" s="30">
        <v>1.55</v>
      </c>
      <c r="Z175" s="30">
        <v>2.35</v>
      </c>
      <c r="AA175" s="30">
        <v>2.95</v>
      </c>
      <c r="AB175" s="30">
        <v>4</v>
      </c>
      <c r="AC175" s="30">
        <v>4.25</v>
      </c>
      <c r="AD175" s="30">
        <v>7.85</v>
      </c>
      <c r="AE175" s="30">
        <v>9.9499999999999993</v>
      </c>
      <c r="AF175" s="30">
        <v>11.8</v>
      </c>
      <c r="AG175" s="30">
        <v>16.45</v>
      </c>
      <c r="AH175" s="30">
        <v>18.45</v>
      </c>
      <c r="AI175" s="30">
        <v>22.35</v>
      </c>
      <c r="AJ175" s="30">
        <v>22.4</v>
      </c>
      <c r="AK175" s="30">
        <v>21.95</v>
      </c>
      <c r="AL175" s="30">
        <v>22.8</v>
      </c>
      <c r="AM175" s="30">
        <v>20.3</v>
      </c>
      <c r="AN175" s="30">
        <v>22</v>
      </c>
      <c r="AO175" s="30">
        <v>21.45</v>
      </c>
      <c r="AP175" s="30">
        <v>21.8</v>
      </c>
      <c r="AQ175" s="30">
        <v>23.45</v>
      </c>
      <c r="AR175" s="30">
        <v>21.05</v>
      </c>
      <c r="AS175" s="30">
        <v>20.95</v>
      </c>
      <c r="AT175" s="30">
        <v>15.05</v>
      </c>
      <c r="AU175" s="30">
        <v>11.45</v>
      </c>
      <c r="AV175" s="30">
        <v>6.25</v>
      </c>
      <c r="AW175" s="30">
        <v>5.15</v>
      </c>
      <c r="AX175" s="30">
        <v>2.2999999999999998</v>
      </c>
      <c r="AY175" s="30">
        <v>1.95</v>
      </c>
      <c r="AZ175" s="30">
        <v>0.85</v>
      </c>
      <c r="BA175" s="30">
        <v>0.25</v>
      </c>
      <c r="BB175" s="30">
        <v>0.2</v>
      </c>
      <c r="BC175" s="30"/>
      <c r="BD175" s="30">
        <v>0.05</v>
      </c>
      <c r="BE175" s="30"/>
      <c r="BF175" s="30"/>
      <c r="BG175" s="30"/>
      <c r="BH175" s="30"/>
      <c r="BI175" s="30">
        <v>365.25</v>
      </c>
    </row>
    <row r="176" spans="3:61" x14ac:dyDescent="0.2">
      <c r="C176" s="144" t="s">
        <v>180</v>
      </c>
      <c r="D176" s="145" t="s">
        <v>181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0.15</v>
      </c>
      <c r="T176" s="30">
        <v>0.25</v>
      </c>
      <c r="U176" s="30">
        <v>0.45</v>
      </c>
      <c r="V176" s="30">
        <v>0.9</v>
      </c>
      <c r="W176" s="30">
        <v>1.4</v>
      </c>
      <c r="X176" s="30">
        <v>2.5</v>
      </c>
      <c r="Y176" s="30">
        <v>2.5499999999999998</v>
      </c>
      <c r="Z176" s="30">
        <v>5.25</v>
      </c>
      <c r="AA176" s="30">
        <v>6.25</v>
      </c>
      <c r="AB176" s="30">
        <v>8</v>
      </c>
      <c r="AC176" s="30">
        <v>10.050000000000001</v>
      </c>
      <c r="AD176" s="30">
        <v>14.1</v>
      </c>
      <c r="AE176" s="30">
        <v>16.649999999999999</v>
      </c>
      <c r="AF176" s="30">
        <v>19.55</v>
      </c>
      <c r="AG176" s="30">
        <v>21.8</v>
      </c>
      <c r="AH176" s="30">
        <v>20.55</v>
      </c>
      <c r="AI176" s="30">
        <v>20.2</v>
      </c>
      <c r="AJ176" s="30">
        <v>19.399999999999999</v>
      </c>
      <c r="AK176" s="30">
        <v>18.649999999999999</v>
      </c>
      <c r="AL176" s="30">
        <v>16.45</v>
      </c>
      <c r="AM176" s="30">
        <v>17.05</v>
      </c>
      <c r="AN176" s="30">
        <v>19.75</v>
      </c>
      <c r="AO176" s="30">
        <v>20.7</v>
      </c>
      <c r="AP176" s="30">
        <v>18.649999999999999</v>
      </c>
      <c r="AQ176" s="30">
        <v>18.2</v>
      </c>
      <c r="AR176" s="30">
        <v>15.3</v>
      </c>
      <c r="AS176" s="30">
        <v>14.5</v>
      </c>
      <c r="AT176" s="30">
        <v>12.9</v>
      </c>
      <c r="AU176" s="30">
        <v>8.4</v>
      </c>
      <c r="AV176" s="30">
        <v>6.4</v>
      </c>
      <c r="AW176" s="30">
        <v>3.7</v>
      </c>
      <c r="AX176" s="30">
        <v>2.25</v>
      </c>
      <c r="AY176" s="30">
        <v>1.4</v>
      </c>
      <c r="AZ176" s="30">
        <v>0.65</v>
      </c>
      <c r="BA176" s="30">
        <v>0.2</v>
      </c>
      <c r="BB176" s="30"/>
      <c r="BC176" s="30">
        <v>0.1</v>
      </c>
      <c r="BD176" s="30"/>
      <c r="BE176" s="30"/>
      <c r="BF176" s="30"/>
      <c r="BG176" s="30"/>
      <c r="BH176" s="30"/>
      <c r="BI176" s="30">
        <v>365.25</v>
      </c>
    </row>
    <row r="177" spans="3:61" x14ac:dyDescent="0.2">
      <c r="C177" s="144" t="s">
        <v>182</v>
      </c>
      <c r="D177" s="145" t="s">
        <v>183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0.1</v>
      </c>
      <c r="Y177" s="30">
        <v>0.6</v>
      </c>
      <c r="Z177" s="30">
        <v>0.75</v>
      </c>
      <c r="AA177" s="30">
        <v>1.95</v>
      </c>
      <c r="AB177" s="30">
        <v>2.7</v>
      </c>
      <c r="AC177" s="30">
        <v>4.5</v>
      </c>
      <c r="AD177" s="30">
        <v>6.65</v>
      </c>
      <c r="AE177" s="30">
        <v>9.15</v>
      </c>
      <c r="AF177" s="30">
        <v>11.9</v>
      </c>
      <c r="AG177" s="30">
        <v>14.95</v>
      </c>
      <c r="AH177" s="30">
        <v>18.95</v>
      </c>
      <c r="AI177" s="30">
        <v>20.9</v>
      </c>
      <c r="AJ177" s="30">
        <v>20.95</v>
      </c>
      <c r="AK177" s="30">
        <v>19.600000000000001</v>
      </c>
      <c r="AL177" s="30">
        <v>18.95</v>
      </c>
      <c r="AM177" s="30">
        <v>17.8</v>
      </c>
      <c r="AN177" s="30">
        <v>17.850000000000001</v>
      </c>
      <c r="AO177" s="30">
        <v>17.2</v>
      </c>
      <c r="AP177" s="30">
        <v>16.2</v>
      </c>
      <c r="AQ177" s="30">
        <v>16.55</v>
      </c>
      <c r="AR177" s="30">
        <v>15.55</v>
      </c>
      <c r="AS177" s="30">
        <v>17.25</v>
      </c>
      <c r="AT177" s="30">
        <v>16.350000000000001</v>
      </c>
      <c r="AU177" s="30">
        <v>16.649999999999999</v>
      </c>
      <c r="AV177" s="30">
        <v>16.05</v>
      </c>
      <c r="AW177" s="30">
        <v>14.7</v>
      </c>
      <c r="AX177" s="30">
        <v>12.25</v>
      </c>
      <c r="AY177" s="30">
        <v>7.3</v>
      </c>
      <c r="AZ177" s="30">
        <v>5.4</v>
      </c>
      <c r="BA177" s="30">
        <v>3.55</v>
      </c>
      <c r="BB177" s="30">
        <v>1.35</v>
      </c>
      <c r="BC177" s="30">
        <v>0.45</v>
      </c>
      <c r="BD177" s="30">
        <v>0.2</v>
      </c>
      <c r="BE177" s="30"/>
      <c r="BF177" s="30"/>
      <c r="BG177" s="30"/>
      <c r="BH177" s="30"/>
      <c r="BI177" s="30">
        <v>365.25</v>
      </c>
    </row>
    <row r="178" spans="3:61" x14ac:dyDescent="0.2">
      <c r="C178" s="144" t="s">
        <v>195</v>
      </c>
      <c r="D178" s="145" t="s">
        <v>184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0.1</v>
      </c>
      <c r="M178" s="30">
        <v>0.15</v>
      </c>
      <c r="N178" s="30">
        <v>0.1</v>
      </c>
      <c r="O178" s="30">
        <v>0.15</v>
      </c>
      <c r="P178" s="30">
        <v>0.35</v>
      </c>
      <c r="Q178" s="30">
        <v>0.5</v>
      </c>
      <c r="R178" s="30">
        <v>0.8</v>
      </c>
      <c r="S178" s="30">
        <v>1.65</v>
      </c>
      <c r="T178" s="30">
        <v>2.4</v>
      </c>
      <c r="U178" s="30">
        <v>3.4</v>
      </c>
      <c r="V178" s="30">
        <v>3.55</v>
      </c>
      <c r="W178" s="30">
        <v>6.35</v>
      </c>
      <c r="X178" s="30">
        <v>6.85</v>
      </c>
      <c r="Y178" s="30">
        <v>8.4499999999999993</v>
      </c>
      <c r="Z178" s="30">
        <v>9.8000000000000007</v>
      </c>
      <c r="AA178" s="30">
        <v>10.35</v>
      </c>
      <c r="AB178" s="30">
        <v>11.95</v>
      </c>
      <c r="AC178" s="30">
        <v>14.25</v>
      </c>
      <c r="AD178" s="30">
        <v>15.75</v>
      </c>
      <c r="AE178" s="30">
        <v>14.9</v>
      </c>
      <c r="AF178" s="30">
        <v>16.05</v>
      </c>
      <c r="AG178" s="30">
        <v>15.8</v>
      </c>
      <c r="AH178" s="30">
        <v>15.5</v>
      </c>
      <c r="AI178" s="30">
        <v>15.45</v>
      </c>
      <c r="AJ178" s="30">
        <v>14.85</v>
      </c>
      <c r="AK178" s="30">
        <v>13.7</v>
      </c>
      <c r="AL178" s="30">
        <v>14.75</v>
      </c>
      <c r="AM178" s="30">
        <v>16.7</v>
      </c>
      <c r="AN178" s="30">
        <v>17.25</v>
      </c>
      <c r="AO178" s="30">
        <v>16.350000000000001</v>
      </c>
      <c r="AP178" s="30">
        <v>17.75</v>
      </c>
      <c r="AQ178" s="30">
        <v>16.3</v>
      </c>
      <c r="AR178" s="30">
        <v>14.45</v>
      </c>
      <c r="AS178" s="30">
        <v>11.6</v>
      </c>
      <c r="AT178" s="30">
        <v>11.4</v>
      </c>
      <c r="AU178" s="30">
        <v>10.199999999999999</v>
      </c>
      <c r="AV178" s="30">
        <v>6.65</v>
      </c>
      <c r="AW178" s="30">
        <v>4.5</v>
      </c>
      <c r="AX178" s="30">
        <v>2.35</v>
      </c>
      <c r="AY178" s="30">
        <v>0.9</v>
      </c>
      <c r="AZ178" s="30">
        <v>0.6</v>
      </c>
      <c r="BA178" s="30">
        <v>0.25</v>
      </c>
      <c r="BB178" s="30">
        <v>0.1</v>
      </c>
      <c r="BC178" s="30"/>
      <c r="BD178" s="30"/>
      <c r="BE178" s="30"/>
      <c r="BF178" s="30"/>
      <c r="BG178" s="30"/>
      <c r="BH178" s="30"/>
      <c r="BI178" s="30">
        <v>365.25</v>
      </c>
    </row>
    <row r="179" spans="3:61" x14ac:dyDescent="0.2">
      <c r="C179" s="144" t="s">
        <v>185</v>
      </c>
      <c r="D179" s="145" t="s">
        <v>186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0.1</v>
      </c>
      <c r="M179" s="30">
        <v>0.05</v>
      </c>
      <c r="N179" s="30">
        <v>0.2</v>
      </c>
      <c r="O179" s="30">
        <v>0.1</v>
      </c>
      <c r="P179" s="30">
        <v>0.6</v>
      </c>
      <c r="Q179" s="30">
        <v>0.45</v>
      </c>
      <c r="R179" s="30">
        <v>1.3</v>
      </c>
      <c r="S179" s="30">
        <v>1.35</v>
      </c>
      <c r="T179" s="30">
        <v>2.2999999999999998</v>
      </c>
      <c r="U179" s="30">
        <v>3.25</v>
      </c>
      <c r="V179" s="30">
        <v>4.2</v>
      </c>
      <c r="W179" s="30">
        <v>5.85</v>
      </c>
      <c r="X179" s="30">
        <v>8</v>
      </c>
      <c r="Y179" s="30">
        <v>9.1</v>
      </c>
      <c r="Z179" s="30">
        <v>10</v>
      </c>
      <c r="AA179" s="30">
        <v>11.85</v>
      </c>
      <c r="AB179" s="30">
        <v>12.25</v>
      </c>
      <c r="AC179" s="30">
        <v>13.55</v>
      </c>
      <c r="AD179" s="30">
        <v>16.2</v>
      </c>
      <c r="AE179" s="30">
        <v>16.149999999999999</v>
      </c>
      <c r="AF179" s="30">
        <v>15.1</v>
      </c>
      <c r="AG179" s="30">
        <v>15.1</v>
      </c>
      <c r="AH179" s="30">
        <v>16.45</v>
      </c>
      <c r="AI179" s="30">
        <v>14.7</v>
      </c>
      <c r="AJ179" s="30">
        <v>15.15</v>
      </c>
      <c r="AK179" s="30">
        <v>14.35</v>
      </c>
      <c r="AL179" s="30">
        <v>16.399999999999999</v>
      </c>
      <c r="AM179" s="30">
        <v>15.95</v>
      </c>
      <c r="AN179" s="30">
        <v>17.75</v>
      </c>
      <c r="AO179" s="30">
        <v>16.399999999999999</v>
      </c>
      <c r="AP179" s="30">
        <v>17.25</v>
      </c>
      <c r="AQ179" s="30">
        <v>15.65</v>
      </c>
      <c r="AR179" s="30">
        <v>13.85</v>
      </c>
      <c r="AS179" s="30">
        <v>10.75</v>
      </c>
      <c r="AT179" s="30">
        <v>10.4</v>
      </c>
      <c r="AU179" s="30">
        <v>9.15</v>
      </c>
      <c r="AV179" s="30">
        <v>6.8</v>
      </c>
      <c r="AW179" s="30">
        <v>3.4</v>
      </c>
      <c r="AX179" s="30">
        <v>2.0499999999999998</v>
      </c>
      <c r="AY179" s="30">
        <v>1.05</v>
      </c>
      <c r="AZ179" s="30">
        <v>0.55000000000000004</v>
      </c>
      <c r="BA179" s="30">
        <v>0.1</v>
      </c>
      <c r="BB179" s="30">
        <v>0.05</v>
      </c>
      <c r="BC179" s="30"/>
      <c r="BD179" s="30"/>
      <c r="BE179" s="30"/>
      <c r="BF179" s="30"/>
      <c r="BG179" s="30"/>
      <c r="BH179" s="30"/>
      <c r="BI179" s="30">
        <v>365.25</v>
      </c>
    </row>
    <row r="180" spans="3:61" x14ac:dyDescent="0.2">
      <c r="C180" s="144" t="s">
        <v>187</v>
      </c>
      <c r="D180" s="145" t="s">
        <v>188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0.05</v>
      </c>
      <c r="R180" s="30">
        <v>0.15</v>
      </c>
      <c r="S180" s="30">
        <v>0.55000000000000004</v>
      </c>
      <c r="T180" s="30">
        <v>0.8</v>
      </c>
      <c r="U180" s="30">
        <v>1.5</v>
      </c>
      <c r="V180" s="30">
        <v>2.7</v>
      </c>
      <c r="W180" s="30">
        <v>3.9</v>
      </c>
      <c r="X180" s="30">
        <v>4.75</v>
      </c>
      <c r="Y180" s="30">
        <v>6.45</v>
      </c>
      <c r="Z180" s="30">
        <v>9.85</v>
      </c>
      <c r="AA180" s="30">
        <v>8.1999999999999993</v>
      </c>
      <c r="AB180" s="30">
        <v>10.3</v>
      </c>
      <c r="AC180" s="30">
        <v>12.55</v>
      </c>
      <c r="AD180" s="30">
        <v>14.15</v>
      </c>
      <c r="AE180" s="30">
        <v>13.15</v>
      </c>
      <c r="AF180" s="30">
        <v>15.55</v>
      </c>
      <c r="AG180" s="30">
        <v>15.35</v>
      </c>
      <c r="AH180" s="30">
        <v>17.05</v>
      </c>
      <c r="AI180" s="30">
        <v>15.15</v>
      </c>
      <c r="AJ180" s="30">
        <v>15.85</v>
      </c>
      <c r="AK180" s="30">
        <v>14.5</v>
      </c>
      <c r="AL180" s="30">
        <v>13.8</v>
      </c>
      <c r="AM180" s="30">
        <v>17.8</v>
      </c>
      <c r="AN180" s="30">
        <v>15.2</v>
      </c>
      <c r="AO180" s="30">
        <v>15.2</v>
      </c>
      <c r="AP180" s="30">
        <v>15.4</v>
      </c>
      <c r="AQ180" s="30">
        <v>18.45</v>
      </c>
      <c r="AR180" s="30">
        <v>15.1</v>
      </c>
      <c r="AS180" s="30">
        <v>13.8</v>
      </c>
      <c r="AT180" s="30">
        <v>13.1</v>
      </c>
      <c r="AU180" s="30">
        <v>10.25</v>
      </c>
      <c r="AV180" s="30">
        <v>9.65</v>
      </c>
      <c r="AW180" s="30">
        <v>8.75</v>
      </c>
      <c r="AX180" s="30">
        <v>6.35</v>
      </c>
      <c r="AY180" s="30">
        <v>4.8499999999999996</v>
      </c>
      <c r="AZ180" s="30">
        <v>2.35</v>
      </c>
      <c r="BA180" s="30">
        <v>1.5</v>
      </c>
      <c r="BB180" s="30">
        <v>0.7</v>
      </c>
      <c r="BC180" s="30">
        <v>0.3</v>
      </c>
      <c r="BD180" s="30">
        <v>0.2</v>
      </c>
      <c r="BE180" s="30"/>
      <c r="BF180" s="30"/>
      <c r="BG180" s="30"/>
      <c r="BH180" s="30"/>
      <c r="BI180" s="30">
        <v>365.25</v>
      </c>
    </row>
    <row r="181" spans="3:61" x14ac:dyDescent="0.2">
      <c r="C181" s="144" t="s">
        <v>363</v>
      </c>
      <c r="D181" s="145" t="s">
        <v>364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0.1</v>
      </c>
      <c r="N181" s="30">
        <v>0.4</v>
      </c>
      <c r="O181" s="30">
        <v>0.1</v>
      </c>
      <c r="P181" s="30">
        <v>0.55000000000000004</v>
      </c>
      <c r="Q181" s="30">
        <v>0.75</v>
      </c>
      <c r="R181" s="30">
        <v>0.45</v>
      </c>
      <c r="S181" s="30">
        <v>1.8</v>
      </c>
      <c r="T181" s="30">
        <v>2.65</v>
      </c>
      <c r="U181" s="30">
        <v>3.05</v>
      </c>
      <c r="V181" s="30">
        <v>4.6500000000000004</v>
      </c>
      <c r="W181" s="30">
        <v>7</v>
      </c>
      <c r="X181" s="30">
        <v>7.65</v>
      </c>
      <c r="Y181" s="30">
        <v>9.8000000000000007</v>
      </c>
      <c r="Z181" s="30">
        <v>9.35</v>
      </c>
      <c r="AA181" s="30">
        <v>10.7</v>
      </c>
      <c r="AB181" s="30">
        <v>12.15</v>
      </c>
      <c r="AC181" s="30">
        <v>15.6</v>
      </c>
      <c r="AD181" s="30">
        <v>16.100000000000001</v>
      </c>
      <c r="AE181" s="30">
        <v>14.85</v>
      </c>
      <c r="AF181" s="30">
        <v>17.7</v>
      </c>
      <c r="AG181" s="30">
        <v>17.2</v>
      </c>
      <c r="AH181" s="30">
        <v>16.75</v>
      </c>
      <c r="AI181" s="30">
        <v>16.600000000000001</v>
      </c>
      <c r="AJ181" s="30">
        <v>13.85</v>
      </c>
      <c r="AK181" s="30">
        <v>16.149999999999999</v>
      </c>
      <c r="AL181" s="30">
        <v>17.25</v>
      </c>
      <c r="AM181" s="30">
        <v>16.45</v>
      </c>
      <c r="AN181" s="30">
        <v>16.899999999999999</v>
      </c>
      <c r="AO181" s="30">
        <v>17.25</v>
      </c>
      <c r="AP181" s="30">
        <v>16</v>
      </c>
      <c r="AQ181" s="30">
        <v>14.4</v>
      </c>
      <c r="AR181" s="30">
        <v>11.8</v>
      </c>
      <c r="AS181" s="30">
        <v>11.65</v>
      </c>
      <c r="AT181" s="30">
        <v>9.75</v>
      </c>
      <c r="AU181" s="30">
        <v>7.75</v>
      </c>
      <c r="AV181" s="30">
        <v>4.75</v>
      </c>
      <c r="AW181" s="30">
        <v>2.7</v>
      </c>
      <c r="AX181" s="30">
        <v>1.2</v>
      </c>
      <c r="AY181" s="30">
        <v>0.9</v>
      </c>
      <c r="AZ181" s="30">
        <v>0.55000000000000004</v>
      </c>
      <c r="BA181" s="30"/>
      <c r="BB181" s="30"/>
      <c r="BC181" s="30"/>
      <c r="BD181" s="30"/>
      <c r="BE181" s="30"/>
      <c r="BF181" s="30"/>
      <c r="BG181" s="30"/>
      <c r="BH181" s="30"/>
      <c r="BI181" s="30">
        <v>365.25</v>
      </c>
    </row>
    <row r="182" spans="3:61" x14ac:dyDescent="0.2">
      <c r="C182" s="144" t="s">
        <v>365</v>
      </c>
      <c r="D182" s="145" t="s">
        <v>366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0.1</v>
      </c>
      <c r="Q182" s="30">
        <v>0.2</v>
      </c>
      <c r="R182" s="30">
        <v>0.4</v>
      </c>
      <c r="S182" s="30">
        <v>0.65</v>
      </c>
      <c r="T182" s="30">
        <v>1.35</v>
      </c>
      <c r="U182" s="30">
        <v>2.1</v>
      </c>
      <c r="V182" s="30">
        <v>3.45</v>
      </c>
      <c r="W182" s="30">
        <v>4.5</v>
      </c>
      <c r="X182" s="30">
        <v>5.85</v>
      </c>
      <c r="Y182" s="30">
        <v>7.6</v>
      </c>
      <c r="Z182" s="30">
        <v>8.9499999999999993</v>
      </c>
      <c r="AA182" s="30">
        <v>9.0500000000000007</v>
      </c>
      <c r="AB182" s="30">
        <v>11.5</v>
      </c>
      <c r="AC182" s="30">
        <v>13.15</v>
      </c>
      <c r="AD182" s="30">
        <v>14.55</v>
      </c>
      <c r="AE182" s="30">
        <v>14.8</v>
      </c>
      <c r="AF182" s="30">
        <v>15.5</v>
      </c>
      <c r="AG182" s="30">
        <v>14.95</v>
      </c>
      <c r="AH182" s="30">
        <v>18.7</v>
      </c>
      <c r="AI182" s="30">
        <v>16</v>
      </c>
      <c r="AJ182" s="30">
        <v>15.7</v>
      </c>
      <c r="AK182" s="30">
        <v>14.9</v>
      </c>
      <c r="AL182" s="30">
        <v>15.45</v>
      </c>
      <c r="AM182" s="30">
        <v>15.25</v>
      </c>
      <c r="AN182" s="30">
        <v>17.649999999999999</v>
      </c>
      <c r="AO182" s="30">
        <v>15</v>
      </c>
      <c r="AP182" s="30">
        <v>17.95</v>
      </c>
      <c r="AQ182" s="30">
        <v>15.9</v>
      </c>
      <c r="AR182" s="30">
        <v>15.3</v>
      </c>
      <c r="AS182" s="30">
        <v>14.65</v>
      </c>
      <c r="AT182" s="30">
        <v>11.1</v>
      </c>
      <c r="AU182" s="30">
        <v>10.65</v>
      </c>
      <c r="AV182" s="30">
        <v>8.75</v>
      </c>
      <c r="AW182" s="30">
        <v>6.05</v>
      </c>
      <c r="AX182" s="30">
        <v>3.85</v>
      </c>
      <c r="AY182" s="30">
        <v>1.65</v>
      </c>
      <c r="AZ182" s="30">
        <v>1.1000000000000001</v>
      </c>
      <c r="BA182" s="30">
        <v>0.55000000000000004</v>
      </c>
      <c r="BB182" s="30">
        <v>0.45</v>
      </c>
      <c r="BC182" s="30"/>
      <c r="BD182" s="30"/>
      <c r="BE182" s="30"/>
      <c r="BF182" s="30"/>
      <c r="BG182" s="30"/>
      <c r="BH182" s="30"/>
      <c r="BI182" s="30">
        <v>365.25</v>
      </c>
    </row>
    <row r="183" spans="3:61" x14ac:dyDescent="0.2">
      <c r="C183" s="144" t="s">
        <v>367</v>
      </c>
      <c r="D183" s="145" t="s">
        <v>368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0.15</v>
      </c>
      <c r="Q183" s="30">
        <v>0.05</v>
      </c>
      <c r="R183" s="30">
        <v>0.2</v>
      </c>
      <c r="S183" s="30">
        <v>0.1</v>
      </c>
      <c r="T183" s="30">
        <v>0.45</v>
      </c>
      <c r="U183" s="30">
        <v>0.65</v>
      </c>
      <c r="V183" s="30">
        <v>1.3</v>
      </c>
      <c r="W183" s="30">
        <v>2.0499999999999998</v>
      </c>
      <c r="X183" s="30">
        <v>4.05</v>
      </c>
      <c r="Y183" s="30">
        <v>4.55</v>
      </c>
      <c r="Z183" s="30">
        <v>6.2</v>
      </c>
      <c r="AA183" s="30">
        <v>7.75</v>
      </c>
      <c r="AB183" s="30">
        <v>9.6999999999999993</v>
      </c>
      <c r="AC183" s="30">
        <v>11.7</v>
      </c>
      <c r="AD183" s="30">
        <v>12.2</v>
      </c>
      <c r="AE183" s="30">
        <v>16.350000000000001</v>
      </c>
      <c r="AF183" s="30">
        <v>16.5</v>
      </c>
      <c r="AG183" s="30">
        <v>20.399999999999999</v>
      </c>
      <c r="AH183" s="30">
        <v>23.05</v>
      </c>
      <c r="AI183" s="30">
        <v>18.8</v>
      </c>
      <c r="AJ183" s="30">
        <v>19.8</v>
      </c>
      <c r="AK183" s="30">
        <v>19.3</v>
      </c>
      <c r="AL183" s="30">
        <v>17.3</v>
      </c>
      <c r="AM183" s="30">
        <v>18.399999999999999</v>
      </c>
      <c r="AN183" s="30">
        <v>19.649999999999999</v>
      </c>
      <c r="AO183" s="30">
        <v>19.05</v>
      </c>
      <c r="AP183" s="30">
        <v>19.5</v>
      </c>
      <c r="AQ183" s="30">
        <v>18.649999999999999</v>
      </c>
      <c r="AR183" s="30">
        <v>13.7</v>
      </c>
      <c r="AS183" s="30">
        <v>12.55</v>
      </c>
      <c r="AT183" s="30">
        <v>10.15</v>
      </c>
      <c r="AU183" s="30">
        <v>6.85</v>
      </c>
      <c r="AV183" s="30">
        <v>4.7</v>
      </c>
      <c r="AW183" s="30">
        <v>3.95</v>
      </c>
      <c r="AX183" s="30">
        <v>2.7</v>
      </c>
      <c r="AY183" s="30">
        <v>1.45</v>
      </c>
      <c r="AZ183" s="30">
        <v>0.45</v>
      </c>
      <c r="BA183" s="30">
        <v>0.5</v>
      </c>
      <c r="BB183" s="30">
        <v>0.2</v>
      </c>
      <c r="BC183" s="30">
        <v>0.1</v>
      </c>
      <c r="BD183" s="30">
        <v>0.1</v>
      </c>
      <c r="BE183" s="30"/>
      <c r="BF183" s="30"/>
      <c r="BG183" s="30"/>
      <c r="BH183" s="30"/>
      <c r="BI183" s="30">
        <v>365.25</v>
      </c>
    </row>
    <row r="184" spans="3:61" x14ac:dyDescent="0.2">
      <c r="C184" s="144" t="s">
        <v>369</v>
      </c>
      <c r="D184" s="145" t="s">
        <v>370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0.05</v>
      </c>
      <c r="S184" s="30">
        <v>0.05</v>
      </c>
      <c r="T184" s="30">
        <v>0.8</v>
      </c>
      <c r="U184" s="30">
        <v>1.5</v>
      </c>
      <c r="V184" s="30">
        <v>3.2</v>
      </c>
      <c r="W184" s="30">
        <v>4.7</v>
      </c>
      <c r="X184" s="30">
        <v>5.9</v>
      </c>
      <c r="Y184" s="30">
        <v>8.4</v>
      </c>
      <c r="Z184" s="30">
        <v>10.85</v>
      </c>
      <c r="AA184" s="30">
        <v>13.7</v>
      </c>
      <c r="AB184" s="30">
        <v>14.15</v>
      </c>
      <c r="AC184" s="30">
        <v>16.45</v>
      </c>
      <c r="AD184" s="30">
        <v>15.75</v>
      </c>
      <c r="AE184" s="30">
        <v>14.5</v>
      </c>
      <c r="AF184" s="30">
        <v>16.45</v>
      </c>
      <c r="AG184" s="30">
        <v>13.8</v>
      </c>
      <c r="AH184" s="30">
        <v>15.3</v>
      </c>
      <c r="AI184" s="30">
        <v>14.55</v>
      </c>
      <c r="AJ184" s="30">
        <v>13.2</v>
      </c>
      <c r="AK184" s="30">
        <v>13.95</v>
      </c>
      <c r="AL184" s="30">
        <v>15.6</v>
      </c>
      <c r="AM184" s="30">
        <v>15.5</v>
      </c>
      <c r="AN184" s="30">
        <v>15.8</v>
      </c>
      <c r="AO184" s="30">
        <v>15.25</v>
      </c>
      <c r="AP184" s="30">
        <v>14.9</v>
      </c>
      <c r="AQ184" s="30">
        <v>17.55</v>
      </c>
      <c r="AR184" s="30">
        <v>15.85</v>
      </c>
      <c r="AS184" s="30">
        <v>12.4</v>
      </c>
      <c r="AT184" s="30">
        <v>13.1</v>
      </c>
      <c r="AU184" s="30">
        <v>12.35</v>
      </c>
      <c r="AV184" s="30">
        <v>8.4</v>
      </c>
      <c r="AW184" s="30">
        <v>6.2</v>
      </c>
      <c r="AX184" s="30">
        <v>2.75</v>
      </c>
      <c r="AY184" s="30">
        <v>1.4</v>
      </c>
      <c r="AZ184" s="30">
        <v>0.7</v>
      </c>
      <c r="BA184" s="30">
        <v>0.25</v>
      </c>
      <c r="BB184" s="30"/>
      <c r="BC184" s="30"/>
      <c r="BD184" s="30"/>
      <c r="BE184" s="30"/>
      <c r="BF184" s="30"/>
      <c r="BG184" s="30"/>
      <c r="BH184" s="30"/>
      <c r="BI184" s="30">
        <v>365.25</v>
      </c>
    </row>
    <row r="185" spans="3:61" x14ac:dyDescent="0.2">
      <c r="C185" s="144" t="s">
        <v>371</v>
      </c>
      <c r="D185" s="145" t="s">
        <v>372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5.6694625660142897E-2</v>
      </c>
      <c r="R185" s="30">
        <v>0.45355700528114318</v>
      </c>
      <c r="S185" s="30">
        <v>1.1338925132028579</v>
      </c>
      <c r="T185" s="30">
        <v>1.4740602671637155</v>
      </c>
      <c r="U185" s="30">
        <v>2.7213420316868593</v>
      </c>
      <c r="V185" s="30">
        <v>3.9119291705498602</v>
      </c>
      <c r="W185" s="30">
        <v>5.385989437713576</v>
      </c>
      <c r="X185" s="30">
        <v>6.9167443305374343</v>
      </c>
      <c r="Y185" s="30">
        <v>9.1278347312830075</v>
      </c>
      <c r="Z185" s="30">
        <v>13.039763901832867</v>
      </c>
      <c r="AA185" s="30">
        <v>13.890183286735011</v>
      </c>
      <c r="AB185" s="30">
        <v>17.008387698042871</v>
      </c>
      <c r="AC185" s="30">
        <v>15.194159676918298</v>
      </c>
      <c r="AD185" s="30">
        <v>13.720099409754582</v>
      </c>
      <c r="AE185" s="30">
        <v>15.591022056539298</v>
      </c>
      <c r="AF185" s="30">
        <v>15.591022056539298</v>
      </c>
      <c r="AG185" s="30">
        <v>14.116961789375582</v>
      </c>
      <c r="AH185" s="30">
        <v>12.812985399192295</v>
      </c>
      <c r="AI185" s="30">
        <v>13.266542404473439</v>
      </c>
      <c r="AJ185" s="30">
        <v>15.987884436160298</v>
      </c>
      <c r="AK185" s="30">
        <v>15.704411307859584</v>
      </c>
      <c r="AL185" s="30">
        <v>16.894998446722585</v>
      </c>
      <c r="AM185" s="30">
        <v>14.967381174277728</v>
      </c>
      <c r="AN185" s="30">
        <v>15.024075799937869</v>
      </c>
      <c r="AO185" s="30">
        <v>17.972196334265298</v>
      </c>
      <c r="AP185" s="30">
        <v>16.838303821062439</v>
      </c>
      <c r="AQ185" s="30">
        <v>16.101273687480585</v>
      </c>
      <c r="AR185" s="30">
        <v>12.019260639950295</v>
      </c>
      <c r="AS185" s="30">
        <v>11.225535880708295</v>
      </c>
      <c r="AT185" s="30">
        <v>11.962566014290152</v>
      </c>
      <c r="AU185" s="30">
        <v>9.8081702392047223</v>
      </c>
      <c r="AV185" s="30">
        <v>6.4631873252562908</v>
      </c>
      <c r="AW185" s="30">
        <v>4.6489593041317185</v>
      </c>
      <c r="AX185" s="30">
        <v>1.9276172724448586</v>
      </c>
      <c r="AY185" s="30">
        <v>1.3606710158434296</v>
      </c>
      <c r="AZ185" s="30">
        <v>0.28347312830071447</v>
      </c>
      <c r="BA185" s="30">
        <v>0.34016775396085741</v>
      </c>
      <c r="BB185" s="30">
        <v>5.6694625660142897E-2</v>
      </c>
      <c r="BC185" s="30"/>
      <c r="BD185" s="30"/>
      <c r="BE185" s="30"/>
      <c r="BF185" s="30"/>
      <c r="BG185" s="30"/>
      <c r="BH185" s="30"/>
      <c r="BI185" s="30">
        <v>365</v>
      </c>
    </row>
    <row r="186" spans="3:61" x14ac:dyDescent="0.2">
      <c r="C186" s="144" t="s">
        <v>373</v>
      </c>
      <c r="D186" s="145" t="s">
        <v>374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0.05</v>
      </c>
      <c r="P186" s="30">
        <v>0.05</v>
      </c>
      <c r="Q186" s="30">
        <v>0</v>
      </c>
      <c r="R186" s="30">
        <v>0.05</v>
      </c>
      <c r="S186" s="30">
        <v>0.35</v>
      </c>
      <c r="T186" s="30">
        <v>0.05</v>
      </c>
      <c r="U186" s="30">
        <v>0.7</v>
      </c>
      <c r="V186" s="30">
        <v>1</v>
      </c>
      <c r="W186" s="30">
        <v>2.2000000000000002</v>
      </c>
      <c r="X186" s="30">
        <v>2.4</v>
      </c>
      <c r="Y186" s="30">
        <v>4.5</v>
      </c>
      <c r="Z186" s="30">
        <v>6.2</v>
      </c>
      <c r="AA186" s="30">
        <v>8.1999999999999993</v>
      </c>
      <c r="AB186" s="30">
        <v>10.15</v>
      </c>
      <c r="AC186" s="30">
        <v>9.35</v>
      </c>
      <c r="AD186" s="30">
        <v>13.15</v>
      </c>
      <c r="AE186" s="30">
        <v>15.8</v>
      </c>
      <c r="AF186" s="30">
        <v>17.75</v>
      </c>
      <c r="AG186" s="30">
        <v>19.05</v>
      </c>
      <c r="AH186" s="30">
        <v>21.45</v>
      </c>
      <c r="AI186" s="30">
        <v>20.100000000000001</v>
      </c>
      <c r="AJ186" s="30">
        <v>16.75</v>
      </c>
      <c r="AK186" s="30">
        <v>17.850000000000001</v>
      </c>
      <c r="AL186" s="30">
        <v>18.45</v>
      </c>
      <c r="AM186" s="30">
        <v>17.350000000000001</v>
      </c>
      <c r="AN186" s="30">
        <v>18.5</v>
      </c>
      <c r="AO186" s="30">
        <v>17.25</v>
      </c>
      <c r="AP186" s="30">
        <v>20.3</v>
      </c>
      <c r="AQ186" s="30">
        <v>18.600000000000001</v>
      </c>
      <c r="AR186" s="30">
        <v>15.45</v>
      </c>
      <c r="AS186" s="30">
        <v>13.2</v>
      </c>
      <c r="AT186" s="30">
        <v>11.35</v>
      </c>
      <c r="AU186" s="30">
        <v>8.1999999999999993</v>
      </c>
      <c r="AV186" s="30">
        <v>6.95</v>
      </c>
      <c r="AW186" s="30">
        <v>4.5</v>
      </c>
      <c r="AX186" s="30">
        <v>3.5</v>
      </c>
      <c r="AY186" s="30">
        <v>2.2000000000000002</v>
      </c>
      <c r="AZ186" s="30">
        <v>1.1499999999999999</v>
      </c>
      <c r="BA186" s="30">
        <v>0.35</v>
      </c>
      <c r="BB186" s="30">
        <v>0.45</v>
      </c>
      <c r="BC186" s="30">
        <v>0.15</v>
      </c>
      <c r="BD186" s="30">
        <v>0.1</v>
      </c>
      <c r="BE186" s="30">
        <v>0.1</v>
      </c>
      <c r="BF186" s="30"/>
      <c r="BG186" s="30"/>
      <c r="BH186" s="30"/>
      <c r="BI186" s="30">
        <v>365.25</v>
      </c>
    </row>
    <row r="187" spans="3:61" x14ac:dyDescent="0.2">
      <c r="C187" s="144" t="s">
        <v>375</v>
      </c>
      <c r="D187" s="145" t="s">
        <v>376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0.05</v>
      </c>
      <c r="N187" s="30">
        <v>0.05</v>
      </c>
      <c r="O187" s="30">
        <v>0</v>
      </c>
      <c r="P187" s="30">
        <v>0.05</v>
      </c>
      <c r="Q187" s="30">
        <v>0.1</v>
      </c>
      <c r="R187" s="30">
        <v>0.2</v>
      </c>
      <c r="S187" s="30">
        <v>0.5</v>
      </c>
      <c r="T187" s="30">
        <v>0.65</v>
      </c>
      <c r="U187" s="30">
        <v>1.35</v>
      </c>
      <c r="V187" s="30">
        <v>2.4</v>
      </c>
      <c r="W187" s="30">
        <v>3.75</v>
      </c>
      <c r="X187" s="30">
        <v>4.8499999999999996</v>
      </c>
      <c r="Y187" s="30">
        <v>5.65</v>
      </c>
      <c r="Z187" s="30">
        <v>8.1</v>
      </c>
      <c r="AA187" s="30">
        <v>10.15</v>
      </c>
      <c r="AB187" s="30">
        <v>12.1</v>
      </c>
      <c r="AC187" s="30">
        <v>14.55</v>
      </c>
      <c r="AD187" s="30">
        <v>16.350000000000001</v>
      </c>
      <c r="AE187" s="30">
        <v>19.600000000000001</v>
      </c>
      <c r="AF187" s="30">
        <v>21.05</v>
      </c>
      <c r="AG187" s="30">
        <v>22.6</v>
      </c>
      <c r="AH187" s="30">
        <v>20</v>
      </c>
      <c r="AI187" s="30">
        <v>19.649999999999999</v>
      </c>
      <c r="AJ187" s="30">
        <v>18.25</v>
      </c>
      <c r="AK187" s="30">
        <v>21.05</v>
      </c>
      <c r="AL187" s="30">
        <v>19.5</v>
      </c>
      <c r="AM187" s="30">
        <v>20.5</v>
      </c>
      <c r="AN187" s="30">
        <v>21.75</v>
      </c>
      <c r="AO187" s="30">
        <v>20.25</v>
      </c>
      <c r="AP187" s="30">
        <v>16.7</v>
      </c>
      <c r="AQ187" s="30">
        <v>13.8</v>
      </c>
      <c r="AR187" s="30">
        <v>10.050000000000001</v>
      </c>
      <c r="AS187" s="30">
        <v>6.85</v>
      </c>
      <c r="AT187" s="30">
        <v>4.05</v>
      </c>
      <c r="AU187" s="30">
        <v>3.7</v>
      </c>
      <c r="AV187" s="30">
        <v>2.2999999999999998</v>
      </c>
      <c r="AW187" s="30">
        <v>1.25</v>
      </c>
      <c r="AX187" s="30">
        <v>0.8</v>
      </c>
      <c r="AY187" s="30">
        <v>0.35</v>
      </c>
      <c r="AZ187" s="30">
        <v>0.15</v>
      </c>
      <c r="BA187" s="30">
        <v>0.1</v>
      </c>
      <c r="BB187" s="30">
        <v>0.05</v>
      </c>
      <c r="BC187" s="30">
        <v>0.05</v>
      </c>
      <c r="BD187" s="30"/>
      <c r="BE187" s="30"/>
      <c r="BF187" s="30"/>
      <c r="BG187" s="30"/>
      <c r="BH187" s="30"/>
      <c r="BI187" s="30">
        <v>365.25</v>
      </c>
    </row>
    <row r="188" spans="3:61" x14ac:dyDescent="0.2">
      <c r="C188" s="144" t="s">
        <v>377</v>
      </c>
      <c r="D188" s="145" t="s">
        <v>378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0.05</v>
      </c>
      <c r="O188" s="30">
        <v>0.05</v>
      </c>
      <c r="P188" s="30">
        <v>0.05</v>
      </c>
      <c r="Q188" s="30">
        <v>0.25</v>
      </c>
      <c r="R188" s="30">
        <v>0.35</v>
      </c>
      <c r="S188" s="30">
        <v>0.3</v>
      </c>
      <c r="T188" s="30">
        <v>0.75</v>
      </c>
      <c r="U188" s="30">
        <v>1.25</v>
      </c>
      <c r="V188" s="30">
        <v>1.9</v>
      </c>
      <c r="W188" s="30">
        <v>3.35</v>
      </c>
      <c r="X188" s="30">
        <v>5.4</v>
      </c>
      <c r="Y188" s="30">
        <v>6.9</v>
      </c>
      <c r="Z188" s="30">
        <v>8.4</v>
      </c>
      <c r="AA188" s="30">
        <v>8.9499999999999993</v>
      </c>
      <c r="AB188" s="30">
        <v>12.2</v>
      </c>
      <c r="AC188" s="30">
        <v>13.5</v>
      </c>
      <c r="AD188" s="30">
        <v>15.45</v>
      </c>
      <c r="AE188" s="30">
        <v>16.3</v>
      </c>
      <c r="AF188" s="30">
        <v>18.350000000000001</v>
      </c>
      <c r="AG188" s="30">
        <v>21.5</v>
      </c>
      <c r="AH188" s="30">
        <v>17.899999999999999</v>
      </c>
      <c r="AI188" s="30">
        <v>17.100000000000001</v>
      </c>
      <c r="AJ188" s="30">
        <v>18.45</v>
      </c>
      <c r="AK188" s="30">
        <v>17.850000000000001</v>
      </c>
      <c r="AL188" s="30">
        <v>18.5</v>
      </c>
      <c r="AM188" s="30">
        <v>18</v>
      </c>
      <c r="AN188" s="30">
        <v>18.75</v>
      </c>
      <c r="AO188" s="30">
        <v>19.7</v>
      </c>
      <c r="AP188" s="30">
        <v>17.100000000000001</v>
      </c>
      <c r="AQ188" s="30">
        <v>16.7</v>
      </c>
      <c r="AR188" s="30">
        <v>14.55</v>
      </c>
      <c r="AS188" s="30">
        <v>10.199999999999999</v>
      </c>
      <c r="AT188" s="30">
        <v>8.5</v>
      </c>
      <c r="AU188" s="30">
        <v>7.2</v>
      </c>
      <c r="AV188" s="30">
        <v>3.85</v>
      </c>
      <c r="AW188" s="30">
        <v>2.5</v>
      </c>
      <c r="AX188" s="30">
        <v>1.85</v>
      </c>
      <c r="AY188" s="30">
        <v>0.5</v>
      </c>
      <c r="AZ188" s="30">
        <v>0.35</v>
      </c>
      <c r="BA188" s="30">
        <v>0.3</v>
      </c>
      <c r="BB188" s="30">
        <v>0.15</v>
      </c>
      <c r="BC188" s="30"/>
      <c r="BD188" s="30"/>
      <c r="BE188" s="30"/>
      <c r="BF188" s="30"/>
      <c r="BG188" s="30"/>
      <c r="BH188" s="30"/>
      <c r="BI188" s="30">
        <v>365.25</v>
      </c>
    </row>
    <row r="189" spans="3:61" x14ac:dyDescent="0.2">
      <c r="C189" s="144" t="s">
        <v>379</v>
      </c>
      <c r="D189" s="145" t="s">
        <v>380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  <c r="O189" s="30">
        <v>0.1</v>
      </c>
      <c r="P189" s="30">
        <v>0</v>
      </c>
      <c r="Q189" s="30">
        <v>0.1</v>
      </c>
      <c r="R189" s="30">
        <v>0.25</v>
      </c>
      <c r="S189" s="30">
        <v>0.2</v>
      </c>
      <c r="T189" s="30">
        <v>0.7</v>
      </c>
      <c r="U189" s="30">
        <v>1.45</v>
      </c>
      <c r="V189" s="30">
        <v>1.6</v>
      </c>
      <c r="W189" s="30">
        <v>3.05</v>
      </c>
      <c r="X189" s="30">
        <v>5.05</v>
      </c>
      <c r="Y189" s="30">
        <v>6.3</v>
      </c>
      <c r="Z189" s="30">
        <v>7.9</v>
      </c>
      <c r="AA189" s="30">
        <v>11.1</v>
      </c>
      <c r="AB189" s="30">
        <v>9.5500000000000007</v>
      </c>
      <c r="AC189" s="30">
        <v>14.9</v>
      </c>
      <c r="AD189" s="30">
        <v>16.350000000000001</v>
      </c>
      <c r="AE189" s="30">
        <v>16.899999999999999</v>
      </c>
      <c r="AF189" s="30">
        <v>19.100000000000001</v>
      </c>
      <c r="AG189" s="30">
        <v>21.25</v>
      </c>
      <c r="AH189" s="30">
        <v>19.600000000000001</v>
      </c>
      <c r="AI189" s="30">
        <v>16.399999999999999</v>
      </c>
      <c r="AJ189" s="30">
        <v>18.399999999999999</v>
      </c>
      <c r="AK189" s="30">
        <v>17.75</v>
      </c>
      <c r="AL189" s="30">
        <v>18.899999999999999</v>
      </c>
      <c r="AM189" s="30">
        <v>17.55</v>
      </c>
      <c r="AN189" s="30">
        <v>19.05</v>
      </c>
      <c r="AO189" s="30">
        <v>18.05</v>
      </c>
      <c r="AP189" s="30">
        <v>18.55</v>
      </c>
      <c r="AQ189" s="30">
        <v>15.1</v>
      </c>
      <c r="AR189" s="30">
        <v>13.25</v>
      </c>
      <c r="AS189" s="30">
        <v>9.6999999999999993</v>
      </c>
      <c r="AT189" s="30">
        <v>8.6</v>
      </c>
      <c r="AU189" s="30">
        <v>6.15</v>
      </c>
      <c r="AV189" s="30">
        <v>4.3</v>
      </c>
      <c r="AW189" s="30">
        <v>3.25</v>
      </c>
      <c r="AX189" s="30">
        <v>2.0499999999999998</v>
      </c>
      <c r="AY189" s="30">
        <v>1.45</v>
      </c>
      <c r="AZ189" s="30">
        <v>0.4</v>
      </c>
      <c r="BA189" s="30">
        <v>0.3</v>
      </c>
      <c r="BB189" s="30">
        <v>0.45</v>
      </c>
      <c r="BC189" s="30">
        <v>0.05</v>
      </c>
      <c r="BD189" s="30">
        <v>0.1</v>
      </c>
      <c r="BE189" s="30"/>
      <c r="BF189" s="30"/>
      <c r="BG189" s="30"/>
      <c r="BH189" s="30"/>
      <c r="BI189" s="30">
        <v>365.25</v>
      </c>
    </row>
    <row r="190" spans="3:61" x14ac:dyDescent="0.2">
      <c r="C190" s="144" t="s">
        <v>381</v>
      </c>
      <c r="D190" s="145" t="s">
        <v>382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0</v>
      </c>
      <c r="R190" s="30">
        <v>0.2</v>
      </c>
      <c r="S190" s="30">
        <v>0.15</v>
      </c>
      <c r="T190" s="30">
        <v>0.35</v>
      </c>
      <c r="U190" s="30">
        <v>0.45</v>
      </c>
      <c r="V190" s="30">
        <v>1.45</v>
      </c>
      <c r="W190" s="30">
        <v>1.5</v>
      </c>
      <c r="X190" s="30">
        <v>2.75</v>
      </c>
      <c r="Y190" s="30">
        <v>3.45</v>
      </c>
      <c r="Z190" s="30">
        <v>6.1</v>
      </c>
      <c r="AA190" s="30">
        <v>7.3</v>
      </c>
      <c r="AB190" s="30">
        <v>8.25</v>
      </c>
      <c r="AC190" s="30">
        <v>10.199999999999999</v>
      </c>
      <c r="AD190" s="30">
        <v>12.1</v>
      </c>
      <c r="AE190" s="30">
        <v>16</v>
      </c>
      <c r="AF190" s="30">
        <v>15.85</v>
      </c>
      <c r="AG190" s="30">
        <v>21.3</v>
      </c>
      <c r="AH190" s="30">
        <v>21.45</v>
      </c>
      <c r="AI190" s="30">
        <v>21.8</v>
      </c>
      <c r="AJ190" s="30">
        <v>19.55</v>
      </c>
      <c r="AK190" s="30">
        <v>18.649999999999999</v>
      </c>
      <c r="AL190" s="30">
        <v>17.7</v>
      </c>
      <c r="AM190" s="30">
        <v>17.8</v>
      </c>
      <c r="AN190" s="30">
        <v>19.2</v>
      </c>
      <c r="AO190" s="30">
        <v>17.5</v>
      </c>
      <c r="AP190" s="30">
        <v>20.45</v>
      </c>
      <c r="AQ190" s="30">
        <v>18.2</v>
      </c>
      <c r="AR190" s="30">
        <v>17.55</v>
      </c>
      <c r="AS190" s="30">
        <v>13.2</v>
      </c>
      <c r="AT190" s="30">
        <v>10.25</v>
      </c>
      <c r="AU190" s="30">
        <v>7.45</v>
      </c>
      <c r="AV190" s="30">
        <v>5.65</v>
      </c>
      <c r="AW190" s="30">
        <v>5.3</v>
      </c>
      <c r="AX190" s="30">
        <v>2.8</v>
      </c>
      <c r="AY190" s="30">
        <v>1.7</v>
      </c>
      <c r="AZ190" s="30">
        <v>0.9</v>
      </c>
      <c r="BA190" s="30">
        <v>0.35</v>
      </c>
      <c r="BB190" s="30">
        <v>0.15</v>
      </c>
      <c r="BC190" s="30">
        <v>0.1</v>
      </c>
      <c r="BD190" s="30">
        <v>0.15</v>
      </c>
      <c r="BE190" s="30"/>
      <c r="BF190" s="30"/>
      <c r="BG190" s="30"/>
      <c r="BH190" s="30"/>
      <c r="BI190" s="30">
        <v>365.25</v>
      </c>
    </row>
    <row r="191" spans="3:61" x14ac:dyDescent="0.2">
      <c r="C191" s="144" t="s">
        <v>383</v>
      </c>
      <c r="D191" s="145" t="s">
        <v>384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30">
        <v>0.05</v>
      </c>
      <c r="O191" s="30">
        <v>0.1</v>
      </c>
      <c r="P191" s="30">
        <v>0.05</v>
      </c>
      <c r="Q191" s="30">
        <v>0.1</v>
      </c>
      <c r="R191" s="30">
        <v>0.25</v>
      </c>
      <c r="S191" s="30">
        <v>0.4</v>
      </c>
      <c r="T191" s="30">
        <v>0.55000000000000004</v>
      </c>
      <c r="U191" s="30">
        <v>1.35</v>
      </c>
      <c r="V191" s="30">
        <v>1.35</v>
      </c>
      <c r="W191" s="30">
        <v>3.95</v>
      </c>
      <c r="X191" s="30">
        <v>4.1500000000000004</v>
      </c>
      <c r="Y191" s="30">
        <v>6.1</v>
      </c>
      <c r="Z191" s="30">
        <v>7.8</v>
      </c>
      <c r="AA191" s="30">
        <v>9.1999999999999993</v>
      </c>
      <c r="AB191" s="30">
        <v>10.1</v>
      </c>
      <c r="AC191" s="30">
        <v>14</v>
      </c>
      <c r="AD191" s="30">
        <v>15.8</v>
      </c>
      <c r="AE191" s="30">
        <v>19.5</v>
      </c>
      <c r="AF191" s="30">
        <v>20.7</v>
      </c>
      <c r="AG191" s="30">
        <v>22.35</v>
      </c>
      <c r="AH191" s="30">
        <v>23.45</v>
      </c>
      <c r="AI191" s="30">
        <v>19.25</v>
      </c>
      <c r="AJ191" s="30">
        <v>20.6</v>
      </c>
      <c r="AK191" s="30">
        <v>20.65</v>
      </c>
      <c r="AL191" s="30">
        <v>20.149999999999999</v>
      </c>
      <c r="AM191" s="30">
        <v>22.45</v>
      </c>
      <c r="AN191" s="30">
        <v>22.45</v>
      </c>
      <c r="AO191" s="30">
        <v>21.25</v>
      </c>
      <c r="AP191" s="30">
        <v>18.149999999999999</v>
      </c>
      <c r="AQ191" s="30">
        <v>13.5</v>
      </c>
      <c r="AR191" s="30">
        <v>9.3000000000000007</v>
      </c>
      <c r="AS191" s="30">
        <v>5.55</v>
      </c>
      <c r="AT191" s="30">
        <v>4.1500000000000004</v>
      </c>
      <c r="AU191" s="30">
        <v>3.35</v>
      </c>
      <c r="AV191" s="30">
        <v>1.1000000000000001</v>
      </c>
      <c r="AW191" s="30">
        <v>1</v>
      </c>
      <c r="AX191" s="30">
        <v>0.7</v>
      </c>
      <c r="AY191" s="30">
        <v>0.2</v>
      </c>
      <c r="AZ191" s="30">
        <v>0.05</v>
      </c>
      <c r="BA191" s="30">
        <v>0.1</v>
      </c>
      <c r="BB191" s="30"/>
      <c r="BC191" s="30"/>
      <c r="BD191" s="30"/>
      <c r="BE191" s="30"/>
      <c r="BF191" s="30"/>
      <c r="BG191" s="30"/>
      <c r="BH191" s="30"/>
      <c r="BI191" s="30">
        <v>365.25</v>
      </c>
    </row>
    <row r="192" spans="3:61" x14ac:dyDescent="0.2">
      <c r="C192" s="144" t="s">
        <v>385</v>
      </c>
      <c r="D192" s="145" t="s">
        <v>386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0.1</v>
      </c>
      <c r="T192" s="30">
        <v>0.35</v>
      </c>
      <c r="U192" s="30">
        <v>0.5</v>
      </c>
      <c r="V192" s="30">
        <v>1.4</v>
      </c>
      <c r="W192" s="30">
        <v>1.9</v>
      </c>
      <c r="X192" s="30">
        <v>2.1</v>
      </c>
      <c r="Y192" s="30">
        <v>3.85</v>
      </c>
      <c r="Z192" s="30">
        <v>4.3499999999999996</v>
      </c>
      <c r="AA192" s="30">
        <v>6.55</v>
      </c>
      <c r="AB192" s="30">
        <v>8.3000000000000007</v>
      </c>
      <c r="AC192" s="30">
        <v>8.6999999999999993</v>
      </c>
      <c r="AD192" s="30">
        <v>11.6</v>
      </c>
      <c r="AE192" s="30">
        <v>15.15</v>
      </c>
      <c r="AF192" s="30">
        <v>16.75</v>
      </c>
      <c r="AG192" s="30">
        <v>18.600000000000001</v>
      </c>
      <c r="AH192" s="30">
        <v>21.2</v>
      </c>
      <c r="AI192" s="30">
        <v>17.8</v>
      </c>
      <c r="AJ192" s="30">
        <v>18.25</v>
      </c>
      <c r="AK192" s="30">
        <v>16</v>
      </c>
      <c r="AL192" s="30">
        <v>17.45</v>
      </c>
      <c r="AM192" s="30">
        <v>14.4</v>
      </c>
      <c r="AN192" s="30">
        <v>15.15</v>
      </c>
      <c r="AO192" s="30">
        <v>16.3</v>
      </c>
      <c r="AP192" s="30">
        <v>16.75</v>
      </c>
      <c r="AQ192" s="30">
        <v>16.850000000000001</v>
      </c>
      <c r="AR192" s="30">
        <v>16.3</v>
      </c>
      <c r="AS192" s="30">
        <v>14.25</v>
      </c>
      <c r="AT192" s="30">
        <v>15.4</v>
      </c>
      <c r="AU192" s="30">
        <v>11.9</v>
      </c>
      <c r="AV192" s="30">
        <v>11.05</v>
      </c>
      <c r="AW192" s="30">
        <v>8.35</v>
      </c>
      <c r="AX192" s="30">
        <v>6.85</v>
      </c>
      <c r="AY192" s="30">
        <v>5.2</v>
      </c>
      <c r="AZ192" s="30">
        <v>2.75</v>
      </c>
      <c r="BA192" s="30">
        <v>1.8</v>
      </c>
      <c r="BB192" s="30">
        <v>0.7</v>
      </c>
      <c r="BC192" s="30">
        <v>0.1</v>
      </c>
      <c r="BD192" s="30">
        <v>0.15</v>
      </c>
      <c r="BE192" s="30">
        <v>0.1</v>
      </c>
      <c r="BF192" s="30"/>
      <c r="BG192" s="30"/>
      <c r="BH192" s="30"/>
      <c r="BI192" s="30">
        <v>365.25</v>
      </c>
    </row>
    <row r="193" spans="3:61" x14ac:dyDescent="0.2">
      <c r="C193" s="144" t="s">
        <v>387</v>
      </c>
      <c r="D193" s="145" t="s">
        <v>388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0">
        <v>0</v>
      </c>
      <c r="Q193" s="30">
        <v>0</v>
      </c>
      <c r="R193" s="30">
        <v>0</v>
      </c>
      <c r="S193" s="30">
        <v>0.05</v>
      </c>
      <c r="T193" s="30">
        <v>0.2</v>
      </c>
      <c r="U193" s="30">
        <v>0.5</v>
      </c>
      <c r="V193" s="30">
        <v>0.95</v>
      </c>
      <c r="W193" s="30">
        <v>1.8</v>
      </c>
      <c r="X193" s="30">
        <v>2.6</v>
      </c>
      <c r="Y193" s="30">
        <v>3.35</v>
      </c>
      <c r="Z193" s="30">
        <v>5.4</v>
      </c>
      <c r="AA193" s="30">
        <v>6.15</v>
      </c>
      <c r="AB193" s="30">
        <v>7.2</v>
      </c>
      <c r="AC193" s="30">
        <v>8.1</v>
      </c>
      <c r="AD193" s="30">
        <v>11.95</v>
      </c>
      <c r="AE193" s="30">
        <v>13.5</v>
      </c>
      <c r="AF193" s="30">
        <v>14.9</v>
      </c>
      <c r="AG193" s="30">
        <v>17.350000000000001</v>
      </c>
      <c r="AH193" s="30">
        <v>20</v>
      </c>
      <c r="AI193" s="30">
        <v>20.85</v>
      </c>
      <c r="AJ193" s="30">
        <v>17.25</v>
      </c>
      <c r="AK193" s="30">
        <v>17.05</v>
      </c>
      <c r="AL193" s="30">
        <v>18.2</v>
      </c>
      <c r="AM193" s="30">
        <v>14.85</v>
      </c>
      <c r="AN193" s="30">
        <v>15.8</v>
      </c>
      <c r="AO193" s="30">
        <v>16.05</v>
      </c>
      <c r="AP193" s="30">
        <v>18.05</v>
      </c>
      <c r="AQ193" s="30">
        <v>17.350000000000001</v>
      </c>
      <c r="AR193" s="30">
        <v>16.350000000000001</v>
      </c>
      <c r="AS193" s="30">
        <v>15.55</v>
      </c>
      <c r="AT193" s="30">
        <v>15.75</v>
      </c>
      <c r="AU193" s="30">
        <v>13.4</v>
      </c>
      <c r="AV193" s="30">
        <v>12.45</v>
      </c>
      <c r="AW193" s="30">
        <v>7.85</v>
      </c>
      <c r="AX193" s="30">
        <v>6</v>
      </c>
      <c r="AY193" s="30">
        <v>4.0999999999999996</v>
      </c>
      <c r="AZ193" s="30">
        <v>2.6</v>
      </c>
      <c r="BA193" s="30">
        <v>0.95</v>
      </c>
      <c r="BB193" s="30">
        <v>0.3</v>
      </c>
      <c r="BC193" s="30">
        <v>0.35</v>
      </c>
      <c r="BD193" s="30">
        <v>0.1</v>
      </c>
      <c r="BE193" s="30">
        <v>0.05</v>
      </c>
      <c r="BF193" s="30"/>
      <c r="BG193" s="30"/>
      <c r="BH193" s="30"/>
      <c r="BI193" s="30">
        <v>365.25</v>
      </c>
    </row>
    <row r="194" spans="3:61" x14ac:dyDescent="0.2">
      <c r="C194" s="144" t="s">
        <v>389</v>
      </c>
      <c r="D194" s="145" t="s">
        <v>390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0.15</v>
      </c>
      <c r="AA194" s="30">
        <v>0.35</v>
      </c>
      <c r="AB194" s="30">
        <v>0.55000000000000004</v>
      </c>
      <c r="AC194" s="30">
        <v>1.65</v>
      </c>
      <c r="AD194" s="30">
        <v>2.5499999999999998</v>
      </c>
      <c r="AE194" s="30">
        <v>5.8</v>
      </c>
      <c r="AF194" s="30">
        <v>7.55</v>
      </c>
      <c r="AG194" s="30">
        <v>12.6</v>
      </c>
      <c r="AH194" s="30">
        <v>18.05</v>
      </c>
      <c r="AI194" s="30">
        <v>21</v>
      </c>
      <c r="AJ194" s="30">
        <v>23.85</v>
      </c>
      <c r="AK194" s="30">
        <v>23.45</v>
      </c>
      <c r="AL194" s="30">
        <v>22.9</v>
      </c>
      <c r="AM194" s="30">
        <v>22.35</v>
      </c>
      <c r="AN194" s="30">
        <v>17.5</v>
      </c>
      <c r="AO194" s="30">
        <v>15.15</v>
      </c>
      <c r="AP194" s="30">
        <v>16.899999999999999</v>
      </c>
      <c r="AQ194" s="30">
        <v>16.05</v>
      </c>
      <c r="AR194" s="30">
        <v>18.8</v>
      </c>
      <c r="AS194" s="30">
        <v>16.7</v>
      </c>
      <c r="AT194" s="30">
        <v>18.55</v>
      </c>
      <c r="AU194" s="30">
        <v>16.05</v>
      </c>
      <c r="AV194" s="30">
        <v>17.399999999999999</v>
      </c>
      <c r="AW194" s="30">
        <v>15.8</v>
      </c>
      <c r="AX194" s="30">
        <v>14.2</v>
      </c>
      <c r="AY194" s="30">
        <v>9.5</v>
      </c>
      <c r="AZ194" s="30">
        <v>6.2</v>
      </c>
      <c r="BA194" s="30">
        <v>2.65</v>
      </c>
      <c r="BB194" s="30">
        <v>0.7</v>
      </c>
      <c r="BC194" s="30">
        <v>0.3</v>
      </c>
      <c r="BD194" s="30"/>
      <c r="BE194" s="30"/>
      <c r="BF194" s="30"/>
      <c r="BG194" s="30"/>
      <c r="BH194" s="30"/>
      <c r="BI194" s="30">
        <v>365.25</v>
      </c>
    </row>
    <row r="195" spans="3:61" x14ac:dyDescent="0.2">
      <c r="C195" s="144" t="s">
        <v>391</v>
      </c>
      <c r="D195" s="145" t="s">
        <v>392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0.1</v>
      </c>
      <c r="V195" s="30">
        <v>0.4</v>
      </c>
      <c r="W195" s="30">
        <v>0.7</v>
      </c>
      <c r="X195" s="30">
        <v>1.3</v>
      </c>
      <c r="Y195" s="30">
        <v>2.2999999999999998</v>
      </c>
      <c r="Z195" s="30">
        <v>3.45</v>
      </c>
      <c r="AA195" s="30">
        <v>6</v>
      </c>
      <c r="AB195" s="30">
        <v>9.4499999999999993</v>
      </c>
      <c r="AC195" s="30">
        <v>10.1</v>
      </c>
      <c r="AD195" s="30">
        <v>11.1</v>
      </c>
      <c r="AE195" s="30">
        <v>14.55</v>
      </c>
      <c r="AF195" s="30">
        <v>14.55</v>
      </c>
      <c r="AG195" s="30">
        <v>16.25</v>
      </c>
      <c r="AH195" s="30">
        <v>16.3</v>
      </c>
      <c r="AI195" s="30">
        <v>17</v>
      </c>
      <c r="AJ195" s="30">
        <v>17.5</v>
      </c>
      <c r="AK195" s="30">
        <v>16.25</v>
      </c>
      <c r="AL195" s="30">
        <v>15.7</v>
      </c>
      <c r="AM195" s="30">
        <v>14.85</v>
      </c>
      <c r="AN195" s="30">
        <v>12.5</v>
      </c>
      <c r="AO195" s="30">
        <v>14.6</v>
      </c>
      <c r="AP195" s="30">
        <v>16.149999999999999</v>
      </c>
      <c r="AQ195" s="30">
        <v>17.399999999999999</v>
      </c>
      <c r="AR195" s="30">
        <v>15.8</v>
      </c>
      <c r="AS195" s="30">
        <v>14.8</v>
      </c>
      <c r="AT195" s="30">
        <v>14.15</v>
      </c>
      <c r="AU195" s="30">
        <v>14.45</v>
      </c>
      <c r="AV195" s="30">
        <v>13.2</v>
      </c>
      <c r="AW195" s="30">
        <v>12.1</v>
      </c>
      <c r="AX195" s="30">
        <v>11.95</v>
      </c>
      <c r="AY195" s="30">
        <v>9.4</v>
      </c>
      <c r="AZ195" s="30">
        <v>6.2</v>
      </c>
      <c r="BA195" s="30">
        <v>2.6</v>
      </c>
      <c r="BB195" s="30">
        <v>1.6</v>
      </c>
      <c r="BC195" s="30">
        <v>0.3</v>
      </c>
      <c r="BD195" s="30">
        <v>0.2</v>
      </c>
      <c r="BE195" s="30"/>
      <c r="BF195" s="30"/>
      <c r="BG195" s="30"/>
      <c r="BH195" s="30"/>
      <c r="BI195" s="30">
        <v>365.25</v>
      </c>
    </row>
    <row r="196" spans="3:61" x14ac:dyDescent="0.2">
      <c r="C196" s="144" t="s">
        <v>393</v>
      </c>
      <c r="D196" s="145" t="s">
        <v>394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0.1</v>
      </c>
      <c r="R196" s="30">
        <v>0.1</v>
      </c>
      <c r="S196" s="30">
        <v>0</v>
      </c>
      <c r="T196" s="30">
        <v>0.4</v>
      </c>
      <c r="U196" s="30">
        <v>0.5</v>
      </c>
      <c r="V196" s="30">
        <v>1.1000000000000001</v>
      </c>
      <c r="W196" s="30">
        <v>2.0499999999999998</v>
      </c>
      <c r="X196" s="30">
        <v>2.9</v>
      </c>
      <c r="Y196" s="30">
        <v>3.65</v>
      </c>
      <c r="Z196" s="30">
        <v>6</v>
      </c>
      <c r="AA196" s="30">
        <v>6.6</v>
      </c>
      <c r="AB196" s="30">
        <v>7.7</v>
      </c>
      <c r="AC196" s="30">
        <v>9.5</v>
      </c>
      <c r="AD196" s="30">
        <v>12.2</v>
      </c>
      <c r="AE196" s="30">
        <v>15.3</v>
      </c>
      <c r="AF196" s="30">
        <v>17.3</v>
      </c>
      <c r="AG196" s="30">
        <v>20.65</v>
      </c>
      <c r="AH196" s="30">
        <v>23.85</v>
      </c>
      <c r="AI196" s="30">
        <v>24.85</v>
      </c>
      <c r="AJ196" s="30">
        <v>20.65</v>
      </c>
      <c r="AK196" s="30">
        <v>20.3</v>
      </c>
      <c r="AL196" s="30">
        <v>19.55</v>
      </c>
      <c r="AM196" s="30">
        <v>19.05</v>
      </c>
      <c r="AN196" s="30">
        <v>20.25</v>
      </c>
      <c r="AO196" s="30">
        <v>21.55</v>
      </c>
      <c r="AP196" s="30">
        <v>21.2</v>
      </c>
      <c r="AQ196" s="30">
        <v>18.649999999999999</v>
      </c>
      <c r="AR196" s="30">
        <v>15.55</v>
      </c>
      <c r="AS196" s="30">
        <v>10.3</v>
      </c>
      <c r="AT196" s="30">
        <v>7.65</v>
      </c>
      <c r="AU196" s="30">
        <v>5.65</v>
      </c>
      <c r="AV196" s="30">
        <v>4.6500000000000004</v>
      </c>
      <c r="AW196" s="30">
        <v>2.6</v>
      </c>
      <c r="AX196" s="30">
        <v>1.25</v>
      </c>
      <c r="AY196" s="30">
        <v>0.9</v>
      </c>
      <c r="AZ196" s="30">
        <v>0.5</v>
      </c>
      <c r="BA196" s="30">
        <v>0.1</v>
      </c>
      <c r="BB196" s="30">
        <v>0.15</v>
      </c>
      <c r="BC196" s="30"/>
      <c r="BD196" s="30"/>
      <c r="BE196" s="30"/>
      <c r="BF196" s="30"/>
      <c r="BG196" s="30"/>
      <c r="BH196" s="30"/>
      <c r="BI196" s="30">
        <v>365.25</v>
      </c>
    </row>
    <row r="197" spans="3:61" x14ac:dyDescent="0.2">
      <c r="C197" s="144" t="s">
        <v>395</v>
      </c>
      <c r="D197" s="145" t="s">
        <v>396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0.05</v>
      </c>
      <c r="Q197" s="30">
        <v>0.15</v>
      </c>
      <c r="R197" s="30">
        <v>0.3</v>
      </c>
      <c r="S197" s="30">
        <v>0.2</v>
      </c>
      <c r="T197" s="30">
        <v>1</v>
      </c>
      <c r="U197" s="30">
        <v>1.1499999999999999</v>
      </c>
      <c r="V197" s="30">
        <v>1.4</v>
      </c>
      <c r="W197" s="30">
        <v>2.8</v>
      </c>
      <c r="X197" s="30">
        <v>4.1500000000000004</v>
      </c>
      <c r="Y197" s="30">
        <v>5.4</v>
      </c>
      <c r="Z197" s="30">
        <v>7.2</v>
      </c>
      <c r="AA197" s="30">
        <v>7.9</v>
      </c>
      <c r="AB197" s="30">
        <v>9.6</v>
      </c>
      <c r="AC197" s="30">
        <v>11.6</v>
      </c>
      <c r="AD197" s="30">
        <v>13.9</v>
      </c>
      <c r="AE197" s="30">
        <v>15.25</v>
      </c>
      <c r="AF197" s="30">
        <v>19.399999999999999</v>
      </c>
      <c r="AG197" s="30">
        <v>19.600000000000001</v>
      </c>
      <c r="AH197" s="30">
        <v>22.8</v>
      </c>
      <c r="AI197" s="30">
        <v>19.2</v>
      </c>
      <c r="AJ197" s="30">
        <v>19.149999999999999</v>
      </c>
      <c r="AK197" s="30">
        <v>18.45</v>
      </c>
      <c r="AL197" s="30">
        <v>17.55</v>
      </c>
      <c r="AM197" s="30">
        <v>17.3</v>
      </c>
      <c r="AN197" s="30">
        <v>19.899999999999999</v>
      </c>
      <c r="AO197" s="30">
        <v>19</v>
      </c>
      <c r="AP197" s="30">
        <v>19.649999999999999</v>
      </c>
      <c r="AQ197" s="30">
        <v>16.7</v>
      </c>
      <c r="AR197" s="30">
        <v>14.35</v>
      </c>
      <c r="AS197" s="30">
        <v>11.4</v>
      </c>
      <c r="AT197" s="30">
        <v>9.1999999999999993</v>
      </c>
      <c r="AU197" s="30">
        <v>7.4</v>
      </c>
      <c r="AV197" s="30">
        <v>4.8</v>
      </c>
      <c r="AW197" s="30">
        <v>3.15</v>
      </c>
      <c r="AX197" s="30">
        <v>1.75</v>
      </c>
      <c r="AY197" s="30">
        <v>1.7</v>
      </c>
      <c r="AZ197" s="30">
        <v>0.2</v>
      </c>
      <c r="BA197" s="30">
        <v>0.2</v>
      </c>
      <c r="BB197" s="30">
        <v>0.3</v>
      </c>
      <c r="BC197" s="30">
        <v>0.05</v>
      </c>
      <c r="BD197" s="30"/>
      <c r="BE197" s="30"/>
      <c r="BF197" s="30"/>
      <c r="BG197" s="30"/>
      <c r="BH197" s="30"/>
      <c r="BI197" s="30">
        <v>365.25</v>
      </c>
    </row>
    <row r="198" spans="3:61" x14ac:dyDescent="0.2">
      <c r="C198" s="144" t="s">
        <v>397</v>
      </c>
      <c r="D198" s="145" t="s">
        <v>398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30">
        <v>0</v>
      </c>
      <c r="O198" s="30">
        <v>0</v>
      </c>
      <c r="P198" s="30">
        <v>0</v>
      </c>
      <c r="Q198" s="30">
        <v>0</v>
      </c>
      <c r="R198" s="30">
        <v>0.2</v>
      </c>
      <c r="S198" s="30">
        <v>0.7</v>
      </c>
      <c r="T198" s="30">
        <v>0.75</v>
      </c>
      <c r="U198" s="30">
        <v>1.35</v>
      </c>
      <c r="V198" s="30">
        <v>1.7</v>
      </c>
      <c r="W198" s="30">
        <v>3.25</v>
      </c>
      <c r="X198" s="30">
        <v>3.6</v>
      </c>
      <c r="Y198" s="30">
        <v>5.75</v>
      </c>
      <c r="Z198" s="30">
        <v>6.1</v>
      </c>
      <c r="AA198" s="30">
        <v>8.9499999999999993</v>
      </c>
      <c r="AB198" s="30">
        <v>10.95</v>
      </c>
      <c r="AC198" s="30">
        <v>13.25</v>
      </c>
      <c r="AD198" s="30">
        <v>17.3</v>
      </c>
      <c r="AE198" s="30">
        <v>18.649999999999999</v>
      </c>
      <c r="AF198" s="30">
        <v>19.95</v>
      </c>
      <c r="AG198" s="30">
        <v>21.35</v>
      </c>
      <c r="AH198" s="30">
        <v>20.85</v>
      </c>
      <c r="AI198" s="30">
        <v>18.399999999999999</v>
      </c>
      <c r="AJ198" s="30">
        <v>16.8</v>
      </c>
      <c r="AK198" s="30">
        <v>17.7</v>
      </c>
      <c r="AL198" s="30">
        <v>17.600000000000001</v>
      </c>
      <c r="AM198" s="30">
        <v>20.25</v>
      </c>
      <c r="AN198" s="30">
        <v>18.5</v>
      </c>
      <c r="AO198" s="30">
        <v>17.100000000000001</v>
      </c>
      <c r="AP198" s="30">
        <v>16.149999999999999</v>
      </c>
      <c r="AQ198" s="30">
        <v>16.649999999999999</v>
      </c>
      <c r="AR198" s="30">
        <v>11.6</v>
      </c>
      <c r="AS198" s="30">
        <v>10.7</v>
      </c>
      <c r="AT198" s="30">
        <v>8.9499999999999993</v>
      </c>
      <c r="AU198" s="30">
        <v>6.45</v>
      </c>
      <c r="AV198" s="30">
        <v>5.35</v>
      </c>
      <c r="AW198" s="30">
        <v>3.5</v>
      </c>
      <c r="AX198" s="30">
        <v>2.4500000000000002</v>
      </c>
      <c r="AY198" s="30">
        <v>1.05</v>
      </c>
      <c r="AZ198" s="30">
        <v>0.65</v>
      </c>
      <c r="BA198" s="30">
        <v>0.4</v>
      </c>
      <c r="BB198" s="30">
        <v>0.1</v>
      </c>
      <c r="BC198" s="30">
        <v>0.25</v>
      </c>
      <c r="BD198" s="30"/>
      <c r="BE198" s="30"/>
      <c r="BF198" s="30"/>
      <c r="BG198" s="30"/>
      <c r="BH198" s="30"/>
      <c r="BI198" s="30">
        <v>365.25</v>
      </c>
    </row>
    <row r="199" spans="3:61" x14ac:dyDescent="0.2">
      <c r="C199" s="144" t="s">
        <v>399</v>
      </c>
      <c r="D199" s="145" t="s">
        <v>400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0.2</v>
      </c>
      <c r="N199" s="30">
        <v>0.1</v>
      </c>
      <c r="O199" s="30">
        <v>0.45</v>
      </c>
      <c r="P199" s="30">
        <v>0.45</v>
      </c>
      <c r="Q199" s="30">
        <v>0.85</v>
      </c>
      <c r="R199" s="30">
        <v>1.5</v>
      </c>
      <c r="S199" s="30">
        <v>1.7</v>
      </c>
      <c r="T199" s="30">
        <v>2.2000000000000002</v>
      </c>
      <c r="U199" s="30">
        <v>3.55</v>
      </c>
      <c r="V199" s="30">
        <v>5.05</v>
      </c>
      <c r="W199" s="30">
        <v>7.7</v>
      </c>
      <c r="X199" s="30">
        <v>8.8000000000000007</v>
      </c>
      <c r="Y199" s="30">
        <v>8.3000000000000007</v>
      </c>
      <c r="Z199" s="30">
        <v>10.199999999999999</v>
      </c>
      <c r="AA199" s="30">
        <v>12.85</v>
      </c>
      <c r="AB199" s="30">
        <v>13.65</v>
      </c>
      <c r="AC199" s="30">
        <v>14.6</v>
      </c>
      <c r="AD199" s="30">
        <v>15.6</v>
      </c>
      <c r="AE199" s="30">
        <v>16.8</v>
      </c>
      <c r="AF199" s="30">
        <v>16.95</v>
      </c>
      <c r="AG199" s="30">
        <v>18.2</v>
      </c>
      <c r="AH199" s="30">
        <v>16.95</v>
      </c>
      <c r="AI199" s="30">
        <v>17</v>
      </c>
      <c r="AJ199" s="30">
        <v>16.05</v>
      </c>
      <c r="AK199" s="30">
        <v>15.85</v>
      </c>
      <c r="AL199" s="30">
        <v>16.7</v>
      </c>
      <c r="AM199" s="30">
        <v>18.5</v>
      </c>
      <c r="AN199" s="30">
        <v>17.5</v>
      </c>
      <c r="AO199" s="30">
        <v>16.55</v>
      </c>
      <c r="AP199" s="30">
        <v>14.55</v>
      </c>
      <c r="AQ199" s="30">
        <v>13.5</v>
      </c>
      <c r="AR199" s="30">
        <v>11.9</v>
      </c>
      <c r="AS199" s="30">
        <v>10.75</v>
      </c>
      <c r="AT199" s="30">
        <v>8.65</v>
      </c>
      <c r="AU199" s="30">
        <v>5.15</v>
      </c>
      <c r="AV199" s="30">
        <v>2.95</v>
      </c>
      <c r="AW199" s="30">
        <v>1.55</v>
      </c>
      <c r="AX199" s="30">
        <v>0.7</v>
      </c>
      <c r="AY199" s="30">
        <v>0.6</v>
      </c>
      <c r="AZ199" s="30">
        <v>0.15</v>
      </c>
      <c r="BA199" s="30"/>
      <c r="BB199" s="30"/>
      <c r="BC199" s="30"/>
      <c r="BD199" s="30"/>
      <c r="BE199" s="30"/>
      <c r="BF199" s="30"/>
      <c r="BG199" s="30"/>
      <c r="BH199" s="30"/>
      <c r="BI199" s="30">
        <v>365.25</v>
      </c>
    </row>
    <row r="200" spans="3:61" x14ac:dyDescent="0.2">
      <c r="C200" s="144" t="s">
        <v>401</v>
      </c>
      <c r="D200" s="145" t="s">
        <v>402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0.1</v>
      </c>
      <c r="N200" s="30">
        <v>0</v>
      </c>
      <c r="O200" s="30">
        <v>0.05</v>
      </c>
      <c r="P200" s="30">
        <v>0.15</v>
      </c>
      <c r="Q200" s="30">
        <v>0.15</v>
      </c>
      <c r="R200" s="30">
        <v>0.5</v>
      </c>
      <c r="S200" s="30">
        <v>0.5</v>
      </c>
      <c r="T200" s="30">
        <v>1.3</v>
      </c>
      <c r="U200" s="30">
        <v>1.45</v>
      </c>
      <c r="V200" s="30">
        <v>2.5</v>
      </c>
      <c r="W200" s="30">
        <v>3.75</v>
      </c>
      <c r="X200" s="30">
        <v>6.3</v>
      </c>
      <c r="Y200" s="30">
        <v>6</v>
      </c>
      <c r="Z200" s="30">
        <v>8.4499999999999993</v>
      </c>
      <c r="AA200" s="30">
        <v>9.35</v>
      </c>
      <c r="AB200" s="30">
        <v>11.9</v>
      </c>
      <c r="AC200" s="30">
        <v>12.25</v>
      </c>
      <c r="AD200" s="30">
        <v>15.4</v>
      </c>
      <c r="AE200" s="30">
        <v>14.7</v>
      </c>
      <c r="AF200" s="30">
        <v>17.95</v>
      </c>
      <c r="AG200" s="30">
        <v>17.600000000000001</v>
      </c>
      <c r="AH200" s="30">
        <v>19.45</v>
      </c>
      <c r="AI200" s="30">
        <v>17.100000000000001</v>
      </c>
      <c r="AJ200" s="30">
        <v>15.95</v>
      </c>
      <c r="AK200" s="30">
        <v>15.7</v>
      </c>
      <c r="AL200" s="30">
        <v>18.75</v>
      </c>
      <c r="AM200" s="30">
        <v>17.8</v>
      </c>
      <c r="AN200" s="30">
        <v>17</v>
      </c>
      <c r="AO200" s="30">
        <v>18.55</v>
      </c>
      <c r="AP200" s="30">
        <v>16.7</v>
      </c>
      <c r="AQ200" s="30">
        <v>16.600000000000001</v>
      </c>
      <c r="AR200" s="30">
        <v>13.95</v>
      </c>
      <c r="AS200" s="30">
        <v>11.85</v>
      </c>
      <c r="AT200" s="30">
        <v>9.6</v>
      </c>
      <c r="AU200" s="30">
        <v>7.75</v>
      </c>
      <c r="AV200" s="30">
        <v>6.75</v>
      </c>
      <c r="AW200" s="30">
        <v>4.7</v>
      </c>
      <c r="AX200" s="30">
        <v>3.05</v>
      </c>
      <c r="AY200" s="30">
        <v>1.55</v>
      </c>
      <c r="AZ200" s="30">
        <v>0.8</v>
      </c>
      <c r="BA200" s="30">
        <v>0.5</v>
      </c>
      <c r="BB200" s="30">
        <v>0.3</v>
      </c>
      <c r="BC200" s="30">
        <v>0.25</v>
      </c>
      <c r="BD200" s="30">
        <v>0.2</v>
      </c>
      <c r="BE200" s="30">
        <v>0.05</v>
      </c>
      <c r="BF200" s="30"/>
      <c r="BG200" s="30"/>
      <c r="BH200" s="30"/>
      <c r="BI200" s="30">
        <v>365.25</v>
      </c>
    </row>
    <row r="201" spans="3:61" x14ac:dyDescent="0.2">
      <c r="C201" s="144" t="s">
        <v>403</v>
      </c>
      <c r="D201" s="145" t="s">
        <v>404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  <c r="J201" s="30">
        <v>0</v>
      </c>
      <c r="K201" s="30">
        <v>0</v>
      </c>
      <c r="L201" s="30">
        <v>0</v>
      </c>
      <c r="M201" s="30">
        <v>0.15</v>
      </c>
      <c r="N201" s="30">
        <v>0.2</v>
      </c>
      <c r="O201" s="30">
        <v>0.15</v>
      </c>
      <c r="P201" s="30">
        <v>0.3</v>
      </c>
      <c r="Q201" s="30">
        <v>0.7</v>
      </c>
      <c r="R201" s="30">
        <v>0.9</v>
      </c>
      <c r="S201" s="30">
        <v>1.5</v>
      </c>
      <c r="T201" s="30">
        <v>2.7</v>
      </c>
      <c r="U201" s="30">
        <v>4.1500000000000004</v>
      </c>
      <c r="V201" s="30">
        <v>5.65</v>
      </c>
      <c r="W201" s="30">
        <v>8.3000000000000007</v>
      </c>
      <c r="X201" s="30">
        <v>8.35</v>
      </c>
      <c r="Y201" s="30">
        <v>8.35</v>
      </c>
      <c r="Z201" s="30">
        <v>11.45</v>
      </c>
      <c r="AA201" s="30">
        <v>11.8</v>
      </c>
      <c r="AB201" s="30">
        <v>14.4</v>
      </c>
      <c r="AC201" s="30">
        <v>14.95</v>
      </c>
      <c r="AD201" s="30">
        <v>14.95</v>
      </c>
      <c r="AE201" s="30">
        <v>14.1</v>
      </c>
      <c r="AF201" s="30">
        <v>18.05</v>
      </c>
      <c r="AG201" s="30">
        <v>16.25</v>
      </c>
      <c r="AH201" s="30">
        <v>15.2</v>
      </c>
      <c r="AI201" s="30">
        <v>15.05</v>
      </c>
      <c r="AJ201" s="30">
        <v>14.45</v>
      </c>
      <c r="AK201" s="30">
        <v>16.55</v>
      </c>
      <c r="AL201" s="30">
        <v>17.95</v>
      </c>
      <c r="AM201" s="30">
        <v>15.25</v>
      </c>
      <c r="AN201" s="30">
        <v>16.95</v>
      </c>
      <c r="AO201" s="30">
        <v>16.149999999999999</v>
      </c>
      <c r="AP201" s="30">
        <v>17</v>
      </c>
      <c r="AQ201" s="30">
        <v>14.15</v>
      </c>
      <c r="AR201" s="30">
        <v>9.8000000000000007</v>
      </c>
      <c r="AS201" s="30">
        <v>10.95</v>
      </c>
      <c r="AT201" s="30">
        <v>9.75</v>
      </c>
      <c r="AU201" s="30">
        <v>7.85</v>
      </c>
      <c r="AV201" s="30">
        <v>5.15</v>
      </c>
      <c r="AW201" s="30">
        <v>2.8</v>
      </c>
      <c r="AX201" s="30">
        <v>1.35</v>
      </c>
      <c r="AY201" s="30">
        <v>0.6</v>
      </c>
      <c r="AZ201" s="30">
        <v>0.55000000000000004</v>
      </c>
      <c r="BA201" s="30">
        <v>0.35</v>
      </c>
      <c r="BB201" s="30">
        <v>0.05</v>
      </c>
      <c r="BC201" s="30"/>
      <c r="BD201" s="30"/>
      <c r="BE201" s="30"/>
      <c r="BF201" s="30"/>
      <c r="BG201" s="30"/>
      <c r="BH201" s="30"/>
      <c r="BI201" s="30">
        <v>365.25</v>
      </c>
    </row>
    <row r="202" spans="3:61" x14ac:dyDescent="0.2">
      <c r="C202" s="144" t="s">
        <v>405</v>
      </c>
      <c r="D202" s="145" t="s">
        <v>406</v>
      </c>
      <c r="E202" s="30">
        <v>0</v>
      </c>
      <c r="F202" s="30">
        <v>0</v>
      </c>
      <c r="G202" s="30">
        <v>0</v>
      </c>
      <c r="H202" s="30">
        <v>0</v>
      </c>
      <c r="I202" s="30">
        <v>0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0.1</v>
      </c>
      <c r="P202" s="30">
        <v>0</v>
      </c>
      <c r="Q202" s="30">
        <v>0.05</v>
      </c>
      <c r="R202" s="30">
        <v>0.2</v>
      </c>
      <c r="S202" s="30">
        <v>0.35</v>
      </c>
      <c r="T202" s="30">
        <v>0.55000000000000004</v>
      </c>
      <c r="U202" s="30">
        <v>1.25</v>
      </c>
      <c r="V202" s="30">
        <v>1.5</v>
      </c>
      <c r="W202" s="30">
        <v>3</v>
      </c>
      <c r="X202" s="30">
        <v>4.25</v>
      </c>
      <c r="Y202" s="30">
        <v>5.45</v>
      </c>
      <c r="Z202" s="30">
        <v>7.8</v>
      </c>
      <c r="AA202" s="30">
        <v>9.25</v>
      </c>
      <c r="AB202" s="30">
        <v>9.9499999999999993</v>
      </c>
      <c r="AC202" s="30">
        <v>12.65</v>
      </c>
      <c r="AD202" s="30">
        <v>15.55</v>
      </c>
      <c r="AE202" s="30">
        <v>16</v>
      </c>
      <c r="AF202" s="30">
        <v>17.350000000000001</v>
      </c>
      <c r="AG202" s="30">
        <v>20.7</v>
      </c>
      <c r="AH202" s="30">
        <v>20.6</v>
      </c>
      <c r="AI202" s="30">
        <v>17.399999999999999</v>
      </c>
      <c r="AJ202" s="30">
        <v>16.7</v>
      </c>
      <c r="AK202" s="30">
        <v>18.149999999999999</v>
      </c>
      <c r="AL202" s="30">
        <v>17.600000000000001</v>
      </c>
      <c r="AM202" s="30">
        <v>17.649999999999999</v>
      </c>
      <c r="AN202" s="30">
        <v>17.899999999999999</v>
      </c>
      <c r="AO202" s="30">
        <v>18.3</v>
      </c>
      <c r="AP202" s="30">
        <v>18.350000000000001</v>
      </c>
      <c r="AQ202" s="30">
        <v>18.100000000000001</v>
      </c>
      <c r="AR202" s="30">
        <v>14.85</v>
      </c>
      <c r="AS202" s="30">
        <v>11.9</v>
      </c>
      <c r="AT202" s="30">
        <v>9.15</v>
      </c>
      <c r="AU202" s="30">
        <v>7.85</v>
      </c>
      <c r="AV202" s="30">
        <v>5.55</v>
      </c>
      <c r="AW202" s="30">
        <v>3.95</v>
      </c>
      <c r="AX202" s="30">
        <v>2.4500000000000002</v>
      </c>
      <c r="AY202" s="30">
        <v>1.3</v>
      </c>
      <c r="AZ202" s="30">
        <v>0.7</v>
      </c>
      <c r="BA202" s="30">
        <v>0.3</v>
      </c>
      <c r="BB202" s="30">
        <v>0.35</v>
      </c>
      <c r="BC202" s="30">
        <v>0.1</v>
      </c>
      <c r="BD202" s="30">
        <v>0.1</v>
      </c>
      <c r="BE202" s="30"/>
      <c r="BF202" s="30"/>
      <c r="BG202" s="30"/>
      <c r="BH202" s="30"/>
      <c r="BI202" s="30">
        <v>365.25</v>
      </c>
    </row>
    <row r="203" spans="3:61" x14ac:dyDescent="0.2">
      <c r="C203" s="144" t="s">
        <v>407</v>
      </c>
      <c r="D203" s="145" t="s">
        <v>408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0.05</v>
      </c>
      <c r="P203" s="30">
        <v>0.05</v>
      </c>
      <c r="Q203" s="30">
        <v>0</v>
      </c>
      <c r="R203" s="30">
        <v>0.15</v>
      </c>
      <c r="S203" s="30">
        <v>0.35</v>
      </c>
      <c r="T203" s="30">
        <v>0.3</v>
      </c>
      <c r="U203" s="30">
        <v>0.85</v>
      </c>
      <c r="V203" s="30">
        <v>1</v>
      </c>
      <c r="W203" s="30">
        <v>2.5</v>
      </c>
      <c r="X203" s="30">
        <v>3.15</v>
      </c>
      <c r="Y203" s="30">
        <v>4.7</v>
      </c>
      <c r="Z203" s="30">
        <v>6.7</v>
      </c>
      <c r="AA203" s="30">
        <v>8.4499999999999993</v>
      </c>
      <c r="AB203" s="30">
        <v>9.1</v>
      </c>
      <c r="AC203" s="30">
        <v>10.3</v>
      </c>
      <c r="AD203" s="30">
        <v>12.4</v>
      </c>
      <c r="AE203" s="30">
        <v>15.2</v>
      </c>
      <c r="AF203" s="30">
        <v>16.899999999999999</v>
      </c>
      <c r="AG203" s="30">
        <v>18.05</v>
      </c>
      <c r="AH203" s="30">
        <v>21.4</v>
      </c>
      <c r="AI203" s="30">
        <v>18.850000000000001</v>
      </c>
      <c r="AJ203" s="30">
        <v>17.100000000000001</v>
      </c>
      <c r="AK203" s="30">
        <v>16.95</v>
      </c>
      <c r="AL203" s="30">
        <v>17.399999999999999</v>
      </c>
      <c r="AM203" s="30">
        <v>16.75</v>
      </c>
      <c r="AN203" s="30">
        <v>17.75</v>
      </c>
      <c r="AO203" s="30">
        <v>17.899999999999999</v>
      </c>
      <c r="AP203" s="30">
        <v>19.100000000000001</v>
      </c>
      <c r="AQ203" s="30">
        <v>18.05</v>
      </c>
      <c r="AR203" s="30">
        <v>16.850000000000001</v>
      </c>
      <c r="AS203" s="30">
        <v>14.9</v>
      </c>
      <c r="AT203" s="30">
        <v>11.3</v>
      </c>
      <c r="AU203" s="30">
        <v>8.4499999999999993</v>
      </c>
      <c r="AV203" s="30">
        <v>7.8</v>
      </c>
      <c r="AW203" s="30">
        <v>5.95</v>
      </c>
      <c r="AX203" s="30">
        <v>3.7</v>
      </c>
      <c r="AY203" s="30">
        <v>2.25</v>
      </c>
      <c r="AZ203" s="30">
        <v>1.1499999999999999</v>
      </c>
      <c r="BA203" s="30">
        <v>0.6</v>
      </c>
      <c r="BB203" s="30">
        <v>0.45</v>
      </c>
      <c r="BC203" s="30">
        <v>0.2</v>
      </c>
      <c r="BD203" s="30">
        <v>0.1</v>
      </c>
      <c r="BE203" s="30">
        <v>0.1</v>
      </c>
      <c r="BF203" s="30"/>
      <c r="BG203" s="30"/>
      <c r="BH203" s="30"/>
      <c r="BI203" s="30">
        <v>365.25</v>
      </c>
    </row>
    <row r="204" spans="3:61" x14ac:dyDescent="0.2">
      <c r="C204" s="144" t="s">
        <v>409</v>
      </c>
      <c r="D204" s="145" t="s">
        <v>410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0.05</v>
      </c>
      <c r="O204" s="30">
        <v>0.05</v>
      </c>
      <c r="P204" s="30">
        <v>0</v>
      </c>
      <c r="Q204" s="30">
        <v>0.1</v>
      </c>
      <c r="R204" s="30">
        <v>0.3</v>
      </c>
      <c r="S204" s="30">
        <v>0.3</v>
      </c>
      <c r="T204" s="30">
        <v>0.7</v>
      </c>
      <c r="U204" s="30">
        <v>1</v>
      </c>
      <c r="V204" s="30">
        <v>1.45</v>
      </c>
      <c r="W204" s="30">
        <v>2.9</v>
      </c>
      <c r="X204" s="30">
        <v>4.3</v>
      </c>
      <c r="Y204" s="30">
        <v>4.9000000000000004</v>
      </c>
      <c r="Z204" s="30">
        <v>8.1</v>
      </c>
      <c r="AA204" s="30">
        <v>8.9499999999999993</v>
      </c>
      <c r="AB204" s="30">
        <v>10.199999999999999</v>
      </c>
      <c r="AC204" s="30">
        <v>12.45</v>
      </c>
      <c r="AD204" s="30">
        <v>13.45</v>
      </c>
      <c r="AE204" s="30">
        <v>16.350000000000001</v>
      </c>
      <c r="AF204" s="30">
        <v>17.25</v>
      </c>
      <c r="AG204" s="30">
        <v>19.55</v>
      </c>
      <c r="AH204" s="30">
        <v>21.05</v>
      </c>
      <c r="AI204" s="30">
        <v>17.850000000000001</v>
      </c>
      <c r="AJ204" s="30">
        <v>19.05</v>
      </c>
      <c r="AK204" s="30">
        <v>18.850000000000001</v>
      </c>
      <c r="AL204" s="30">
        <v>17.600000000000001</v>
      </c>
      <c r="AM204" s="30">
        <v>17.649999999999999</v>
      </c>
      <c r="AN204" s="30">
        <v>18.55</v>
      </c>
      <c r="AO204" s="30">
        <v>19.45</v>
      </c>
      <c r="AP204" s="30">
        <v>18.3</v>
      </c>
      <c r="AQ204" s="30">
        <v>18.5</v>
      </c>
      <c r="AR204" s="30">
        <v>15.2</v>
      </c>
      <c r="AS204" s="30">
        <v>12.55</v>
      </c>
      <c r="AT204" s="30">
        <v>9.35</v>
      </c>
      <c r="AU204" s="30">
        <v>6.65</v>
      </c>
      <c r="AV204" s="30">
        <v>5.0999999999999996</v>
      </c>
      <c r="AW204" s="30">
        <v>3.3</v>
      </c>
      <c r="AX204" s="30">
        <v>1.85</v>
      </c>
      <c r="AY204" s="30">
        <v>1.05</v>
      </c>
      <c r="AZ204" s="30">
        <v>0.45</v>
      </c>
      <c r="BA204" s="30">
        <v>0.3</v>
      </c>
      <c r="BB204" s="30">
        <v>0.15</v>
      </c>
      <c r="BC204" s="30">
        <v>0.05</v>
      </c>
      <c r="BD204" s="30">
        <v>0.05</v>
      </c>
      <c r="BE204" s="30"/>
      <c r="BF204" s="30"/>
      <c r="BG204" s="30"/>
      <c r="BH204" s="30"/>
      <c r="BI204" s="30">
        <v>365.25</v>
      </c>
    </row>
    <row r="205" spans="3:61" x14ac:dyDescent="0.2">
      <c r="C205" s="144" t="s">
        <v>411</v>
      </c>
      <c r="D205" s="145" t="s">
        <v>412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0.05</v>
      </c>
      <c r="O205" s="30">
        <v>0.05</v>
      </c>
      <c r="P205" s="30">
        <v>0</v>
      </c>
      <c r="Q205" s="30">
        <v>0.2</v>
      </c>
      <c r="R205" s="30">
        <v>0.3</v>
      </c>
      <c r="S205" s="30">
        <v>0.3</v>
      </c>
      <c r="T205" s="30">
        <v>0.7</v>
      </c>
      <c r="U205" s="30">
        <v>1.25</v>
      </c>
      <c r="V205" s="30">
        <v>1.8</v>
      </c>
      <c r="W205" s="30">
        <v>2.7</v>
      </c>
      <c r="X205" s="30">
        <v>4.55</v>
      </c>
      <c r="Y205" s="30">
        <v>6</v>
      </c>
      <c r="Z205" s="30">
        <v>7.45</v>
      </c>
      <c r="AA205" s="30">
        <v>9.75</v>
      </c>
      <c r="AB205" s="30">
        <v>9.9499999999999993</v>
      </c>
      <c r="AC205" s="30">
        <v>11.95</v>
      </c>
      <c r="AD205" s="30">
        <v>13.95</v>
      </c>
      <c r="AE205" s="30">
        <v>15.95</v>
      </c>
      <c r="AF205" s="30">
        <v>18</v>
      </c>
      <c r="AG205" s="30">
        <v>19.8</v>
      </c>
      <c r="AH205" s="30">
        <v>20.65</v>
      </c>
      <c r="AI205" s="30">
        <v>18.350000000000001</v>
      </c>
      <c r="AJ205" s="30">
        <v>16.75</v>
      </c>
      <c r="AK205" s="30">
        <v>18.8</v>
      </c>
      <c r="AL205" s="30">
        <v>18.05</v>
      </c>
      <c r="AM205" s="30">
        <v>18.100000000000001</v>
      </c>
      <c r="AN205" s="30">
        <v>18.5</v>
      </c>
      <c r="AO205" s="30">
        <v>18.25</v>
      </c>
      <c r="AP205" s="30">
        <v>19.55</v>
      </c>
      <c r="AQ205" s="30">
        <v>17.45</v>
      </c>
      <c r="AR205" s="30">
        <v>15.9</v>
      </c>
      <c r="AS205" s="30">
        <v>10.8</v>
      </c>
      <c r="AT205" s="30">
        <v>9.3000000000000007</v>
      </c>
      <c r="AU205" s="30">
        <v>7</v>
      </c>
      <c r="AV205" s="30">
        <v>5.0999999999999996</v>
      </c>
      <c r="AW205" s="30">
        <v>3.3</v>
      </c>
      <c r="AX205" s="30">
        <v>2.25</v>
      </c>
      <c r="AY205" s="30">
        <v>1.1000000000000001</v>
      </c>
      <c r="AZ205" s="30">
        <v>0.75</v>
      </c>
      <c r="BA205" s="30">
        <v>0.3</v>
      </c>
      <c r="BB205" s="30">
        <v>0.15</v>
      </c>
      <c r="BC205" s="30">
        <v>0.1</v>
      </c>
      <c r="BD205" s="30">
        <v>0.05</v>
      </c>
      <c r="BE205" s="30"/>
      <c r="BF205" s="30"/>
      <c r="BG205" s="30"/>
      <c r="BH205" s="30"/>
      <c r="BI205" s="30">
        <v>365.25</v>
      </c>
    </row>
    <row r="206" spans="3:61" x14ac:dyDescent="0.2">
      <c r="C206" s="144" t="s">
        <v>413</v>
      </c>
      <c r="D206" s="145" t="s">
        <v>414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0.05</v>
      </c>
      <c r="P206" s="30">
        <v>0.05</v>
      </c>
      <c r="Q206" s="30">
        <v>0</v>
      </c>
      <c r="R206" s="30">
        <v>0.15</v>
      </c>
      <c r="S206" s="30">
        <v>0.3</v>
      </c>
      <c r="T206" s="30">
        <v>0.25</v>
      </c>
      <c r="U206" s="30">
        <v>0.4</v>
      </c>
      <c r="V206" s="30">
        <v>1.25</v>
      </c>
      <c r="W206" s="30">
        <v>1.75</v>
      </c>
      <c r="X206" s="30">
        <v>2.8</v>
      </c>
      <c r="Y206" s="30">
        <v>4.55</v>
      </c>
      <c r="Z206" s="30">
        <v>6.45</v>
      </c>
      <c r="AA206" s="30">
        <v>8.4</v>
      </c>
      <c r="AB206" s="30">
        <v>9.8000000000000007</v>
      </c>
      <c r="AC206" s="30">
        <v>10.1</v>
      </c>
      <c r="AD206" s="30">
        <v>12.6</v>
      </c>
      <c r="AE206" s="30">
        <v>16.5</v>
      </c>
      <c r="AF206" s="30">
        <v>16.350000000000001</v>
      </c>
      <c r="AG206" s="30">
        <v>20.7</v>
      </c>
      <c r="AH206" s="30">
        <v>21.55</v>
      </c>
      <c r="AI206" s="30">
        <v>19.45</v>
      </c>
      <c r="AJ206" s="30">
        <v>16.2</v>
      </c>
      <c r="AK206" s="30">
        <v>17.45</v>
      </c>
      <c r="AL206" s="30">
        <v>16.850000000000001</v>
      </c>
      <c r="AM206" s="30">
        <v>17.55</v>
      </c>
      <c r="AN206" s="30">
        <v>18.55</v>
      </c>
      <c r="AO206" s="30">
        <v>18.3</v>
      </c>
      <c r="AP206" s="30">
        <v>18.5</v>
      </c>
      <c r="AQ206" s="30">
        <v>19.399999999999999</v>
      </c>
      <c r="AR206" s="30">
        <v>15.95</v>
      </c>
      <c r="AS206" s="30">
        <v>13.85</v>
      </c>
      <c r="AT206" s="30">
        <v>11.05</v>
      </c>
      <c r="AU206" s="30">
        <v>8.1</v>
      </c>
      <c r="AV206" s="30">
        <v>7.5</v>
      </c>
      <c r="AW206" s="30">
        <v>4.45</v>
      </c>
      <c r="AX206" s="30">
        <v>3.65</v>
      </c>
      <c r="AY206" s="30">
        <v>2.1</v>
      </c>
      <c r="AZ206" s="30">
        <v>0.9</v>
      </c>
      <c r="BA206" s="30">
        <v>0.65</v>
      </c>
      <c r="BB206" s="30">
        <v>0.45</v>
      </c>
      <c r="BC206" s="30">
        <v>0.1</v>
      </c>
      <c r="BD206" s="30">
        <v>0.05</v>
      </c>
      <c r="BE206" s="30">
        <v>0.05</v>
      </c>
      <c r="BF206" s="30">
        <v>0.05</v>
      </c>
      <c r="BG206" s="30"/>
      <c r="BH206" s="30"/>
      <c r="BI206" s="30">
        <v>365.15</v>
      </c>
    </row>
  </sheetData>
  <mergeCells count="1">
    <mergeCell ref="AE3:AF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9"/>
  <dimension ref="A1:Q29"/>
  <sheetViews>
    <sheetView workbookViewId="0">
      <selection activeCell="A17" sqref="A17"/>
    </sheetView>
  </sheetViews>
  <sheetFormatPr baseColWidth="10" defaultRowHeight="12.75" x14ac:dyDescent="0.2"/>
  <cols>
    <col min="2" max="2" width="16.140625" style="203" bestFit="1" customWidth="1"/>
  </cols>
  <sheetData>
    <row r="1" spans="1:17" s="413" customFormat="1" x14ac:dyDescent="0.2">
      <c r="A1" s="426" t="s">
        <v>577</v>
      </c>
      <c r="B1" s="427" t="s">
        <v>578</v>
      </c>
      <c r="C1" s="412" t="s">
        <v>579</v>
      </c>
    </row>
    <row r="2" spans="1:17" s="431" customFormat="1" x14ac:dyDescent="0.2">
      <c r="A2" s="429">
        <v>42751</v>
      </c>
      <c r="B2" s="434" t="s">
        <v>734</v>
      </c>
      <c r="C2" s="430" t="s">
        <v>580</v>
      </c>
    </row>
    <row r="3" spans="1:17" s="191" customFormat="1" x14ac:dyDescent="0.2">
      <c r="A3" s="428">
        <v>43024</v>
      </c>
      <c r="B3" s="454" t="s">
        <v>734</v>
      </c>
      <c r="C3" s="169" t="s">
        <v>586</v>
      </c>
    </row>
    <row r="4" spans="1:17" s="191" customFormat="1" x14ac:dyDescent="0.2">
      <c r="A4" s="402"/>
      <c r="B4" s="203"/>
      <c r="D4" s="169" t="s">
        <v>581</v>
      </c>
    </row>
    <row r="5" spans="1:17" s="191" customFormat="1" x14ac:dyDescent="0.2">
      <c r="A5" s="402"/>
      <c r="B5" s="203"/>
      <c r="E5" s="169" t="s">
        <v>582</v>
      </c>
    </row>
    <row r="6" spans="1:17" s="191" customFormat="1" x14ac:dyDescent="0.2">
      <c r="A6" s="402"/>
      <c r="B6" s="203"/>
      <c r="E6" s="169" t="s">
        <v>583</v>
      </c>
    </row>
    <row r="7" spans="1:17" s="191" customFormat="1" x14ac:dyDescent="0.2">
      <c r="A7" s="402"/>
      <c r="B7" s="203"/>
      <c r="E7" s="169" t="s">
        <v>584</v>
      </c>
    </row>
    <row r="8" spans="1:17" s="191" customFormat="1" x14ac:dyDescent="0.2">
      <c r="A8" s="402"/>
      <c r="B8" s="203"/>
      <c r="E8" s="169" t="s">
        <v>585</v>
      </c>
      <c r="I8" s="214"/>
      <c r="J8" s="214"/>
      <c r="K8" s="214"/>
      <c r="L8" s="214"/>
      <c r="M8" s="214"/>
      <c r="N8" s="214"/>
      <c r="O8" s="214"/>
      <c r="P8" s="214"/>
      <c r="Q8" s="214"/>
    </row>
    <row r="9" spans="1:17" s="191" customFormat="1" x14ac:dyDescent="0.2">
      <c r="A9" s="402"/>
      <c r="B9" s="203"/>
      <c r="E9" s="169" t="s">
        <v>690</v>
      </c>
      <c r="I9" s="214"/>
      <c r="J9" s="214"/>
      <c r="K9" s="214"/>
      <c r="L9" s="214"/>
      <c r="M9" s="214"/>
      <c r="N9" s="214"/>
      <c r="O9" s="214"/>
      <c r="P9" s="214"/>
      <c r="Q9" s="214"/>
    </row>
    <row r="10" spans="1:17" s="431" customFormat="1" x14ac:dyDescent="0.2">
      <c r="A10" s="429">
        <v>43088</v>
      </c>
      <c r="B10" s="434" t="s">
        <v>734</v>
      </c>
      <c r="C10" s="431" t="s">
        <v>695</v>
      </c>
      <c r="I10" s="264"/>
      <c r="J10" s="264"/>
      <c r="K10" s="264"/>
      <c r="L10" s="264"/>
      <c r="M10" s="264"/>
      <c r="N10" s="264"/>
      <c r="O10" s="264"/>
      <c r="P10" s="264"/>
      <c r="Q10" s="264"/>
    </row>
    <row r="11" spans="1:17" s="431" customFormat="1" x14ac:dyDescent="0.2">
      <c r="A11" s="429">
        <v>43474</v>
      </c>
      <c r="B11" s="434" t="s">
        <v>734</v>
      </c>
      <c r="C11" s="432" t="s">
        <v>698</v>
      </c>
      <c r="I11" s="264"/>
      <c r="J11" s="264"/>
      <c r="K11" s="433"/>
      <c r="L11" s="264"/>
      <c r="M11" s="264"/>
      <c r="N11" s="264"/>
      <c r="O11" s="264"/>
      <c r="P11" s="264"/>
      <c r="Q11" s="264"/>
    </row>
    <row r="12" spans="1:17" x14ac:dyDescent="0.2">
      <c r="A12" s="521">
        <v>43893</v>
      </c>
      <c r="B12" s="454" t="s">
        <v>734</v>
      </c>
      <c r="C12" s="42" t="s">
        <v>735</v>
      </c>
      <c r="I12" s="70"/>
      <c r="J12" s="70"/>
      <c r="K12" s="70"/>
      <c r="L12" s="70"/>
      <c r="M12" s="70"/>
      <c r="N12" s="70"/>
      <c r="O12" s="70"/>
      <c r="P12" s="70"/>
      <c r="Q12" s="70"/>
    </row>
    <row r="13" spans="1:17" x14ac:dyDescent="0.2">
      <c r="C13" s="42" t="s">
        <v>736</v>
      </c>
      <c r="I13" s="70"/>
      <c r="J13" s="70"/>
      <c r="K13" s="70"/>
      <c r="L13" s="70"/>
      <c r="M13" s="70"/>
      <c r="N13" s="70"/>
      <c r="O13" s="70"/>
      <c r="P13" s="70"/>
      <c r="Q13" s="70"/>
    </row>
    <row r="14" spans="1:17" x14ac:dyDescent="0.2">
      <c r="C14" s="42" t="s">
        <v>737</v>
      </c>
      <c r="I14" s="70"/>
      <c r="J14" s="70"/>
      <c r="K14" s="70"/>
      <c r="L14" s="70"/>
      <c r="M14" s="70"/>
      <c r="N14" s="70"/>
      <c r="O14" s="70"/>
      <c r="P14" s="70"/>
      <c r="Q14" s="70"/>
    </row>
    <row r="15" spans="1:17" s="153" customFormat="1" x14ac:dyDescent="0.2">
      <c r="B15" s="204"/>
      <c r="C15" s="539" t="s">
        <v>800</v>
      </c>
      <c r="I15" s="540"/>
      <c r="J15" s="540"/>
      <c r="K15" s="540"/>
      <c r="L15" s="540"/>
      <c r="M15" s="540"/>
      <c r="N15" s="540"/>
      <c r="O15" s="540"/>
      <c r="P15" s="540"/>
      <c r="Q15" s="540"/>
    </row>
    <row r="16" spans="1:17" x14ac:dyDescent="0.2">
      <c r="A16" s="521">
        <v>43920</v>
      </c>
      <c r="B16" s="203" t="s">
        <v>734</v>
      </c>
      <c r="C16" s="541" t="s">
        <v>802</v>
      </c>
      <c r="I16" s="70"/>
      <c r="J16" s="70"/>
      <c r="K16" s="70"/>
      <c r="L16" s="70"/>
      <c r="M16" s="70"/>
      <c r="N16" s="70"/>
      <c r="O16" s="70"/>
      <c r="P16" s="70"/>
      <c r="Q16" s="70"/>
    </row>
    <row r="17" spans="6:17" x14ac:dyDescent="0.2">
      <c r="I17" s="70"/>
      <c r="J17" s="70"/>
      <c r="K17" s="70"/>
      <c r="L17" s="70"/>
      <c r="M17" s="70"/>
      <c r="N17" s="70"/>
      <c r="O17" s="70"/>
      <c r="P17" s="70"/>
      <c r="Q17" s="70"/>
    </row>
    <row r="18" spans="6:17" x14ac:dyDescent="0.2">
      <c r="I18" s="70"/>
      <c r="J18" s="70"/>
      <c r="K18" s="70"/>
      <c r="L18" s="70"/>
      <c r="M18" s="70"/>
      <c r="N18" s="70"/>
      <c r="O18" s="70"/>
      <c r="P18" s="70"/>
      <c r="Q18" s="70"/>
    </row>
    <row r="19" spans="6:17" x14ac:dyDescent="0.2">
      <c r="I19" s="70"/>
      <c r="J19" s="70"/>
      <c r="K19" s="70"/>
      <c r="L19" s="70"/>
      <c r="M19" s="70"/>
      <c r="N19" s="70"/>
      <c r="O19" s="70"/>
      <c r="P19" s="70"/>
      <c r="Q19" s="70"/>
    </row>
    <row r="20" spans="6:17" x14ac:dyDescent="0.2">
      <c r="I20" s="70"/>
      <c r="J20" s="70"/>
      <c r="K20" s="70"/>
      <c r="L20" s="70"/>
      <c r="M20" s="70"/>
      <c r="N20" s="70"/>
      <c r="O20" s="70"/>
      <c r="P20" s="70"/>
      <c r="Q20" s="70"/>
    </row>
    <row r="21" spans="6:17" x14ac:dyDescent="0.2">
      <c r="I21" s="70"/>
      <c r="J21" s="70"/>
      <c r="K21" s="70"/>
      <c r="L21" s="70"/>
      <c r="M21" s="70"/>
      <c r="N21" s="70"/>
      <c r="O21" s="70"/>
      <c r="P21" s="70"/>
      <c r="Q21" s="70"/>
    </row>
    <row r="22" spans="6:17" x14ac:dyDescent="0.2">
      <c r="I22" s="70"/>
      <c r="J22" s="70"/>
      <c r="K22" s="70"/>
      <c r="L22" s="70"/>
      <c r="M22" s="70"/>
      <c r="N22" s="70"/>
      <c r="O22" s="70"/>
      <c r="P22" s="70"/>
      <c r="Q22" s="70"/>
    </row>
    <row r="23" spans="6:17" x14ac:dyDescent="0.2">
      <c r="I23" s="70"/>
      <c r="J23" s="70"/>
      <c r="K23" s="70"/>
      <c r="L23" s="70"/>
      <c r="M23" s="70"/>
      <c r="N23" s="70"/>
      <c r="O23" s="70"/>
      <c r="P23" s="70"/>
      <c r="Q23" s="70"/>
    </row>
    <row r="24" spans="6:17" x14ac:dyDescent="0.2">
      <c r="I24" s="70"/>
      <c r="J24" s="70"/>
      <c r="K24" s="70"/>
      <c r="L24" s="70"/>
      <c r="M24" s="70"/>
      <c r="N24" s="70"/>
      <c r="O24" s="70"/>
      <c r="P24" s="70"/>
      <c r="Q24" s="70"/>
    </row>
    <row r="29" spans="6:17" x14ac:dyDescent="0.2">
      <c r="F29" s="4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40</vt:i4>
      </vt:variant>
    </vt:vector>
  </HeadingPairs>
  <TitlesOfParts>
    <vt:vector size="49" baseType="lpstr">
      <vt:lpstr>Notice</vt:lpstr>
      <vt:lpstr>Données</vt:lpstr>
      <vt:lpstr>Coûts énergies</vt:lpstr>
      <vt:lpstr>Résultats</vt:lpstr>
      <vt:lpstr>Chaudières</vt:lpstr>
      <vt:lpstr>Consommations et côuts de prod</vt:lpstr>
      <vt:lpstr>BdD Bâtiment</vt:lpstr>
      <vt:lpstr>BdD Localisation</vt:lpstr>
      <vt:lpstr>Mise à jour</vt:lpstr>
      <vt:lpstr>Altitude</vt:lpstr>
      <vt:lpstr>appoint</vt:lpstr>
      <vt:lpstr>APPPOINT</vt:lpstr>
      <vt:lpstr>BTamp</vt:lpstr>
      <vt:lpstr>cchaud</vt:lpstr>
      <vt:lpstr>cesc</vt:lpstr>
      <vt:lpstr>cesi</vt:lpstr>
      <vt:lpstr>chargem</vt:lpstr>
      <vt:lpstr>chaud</vt:lpstr>
      <vt:lpstr>circuit1</vt:lpstr>
      <vt:lpstr>circuit2</vt:lpstr>
      <vt:lpstr>CONSO</vt:lpstr>
      <vt:lpstr>consoecs</vt:lpstr>
      <vt:lpstr>dep</vt:lpstr>
      <vt:lpstr>Département</vt:lpstr>
      <vt:lpstr>Deper</vt:lpstr>
      <vt:lpstr>Eappoint</vt:lpstr>
      <vt:lpstr>EBois</vt:lpstr>
      <vt:lpstr>ecs</vt:lpstr>
      <vt:lpstr>ecss</vt:lpstr>
      <vt:lpstr>FT</vt:lpstr>
      <vt:lpstr>GAMME</vt:lpstr>
      <vt:lpstr>modele</vt:lpstr>
      <vt:lpstr>nrjch</vt:lpstr>
      <vt:lpstr>pbois</vt:lpstr>
      <vt:lpstr>PDEL</vt:lpstr>
      <vt:lpstr>pmax</vt:lpstr>
      <vt:lpstr>puip</vt:lpstr>
      <vt:lpstr>SOLAIRE</vt:lpstr>
      <vt:lpstr>TB</vt:lpstr>
      <vt:lpstr>TCHAUD</vt:lpstr>
      <vt:lpstr>TI</vt:lpstr>
      <vt:lpstr>typechaud</vt:lpstr>
      <vt:lpstr>typecs</vt:lpstr>
      <vt:lpstr>TYPEECS</vt:lpstr>
      <vt:lpstr>typeenergie</vt:lpstr>
      <vt:lpstr>unités</vt:lpstr>
      <vt:lpstr>Chaudières!Zone_d_impression</vt:lpstr>
      <vt:lpstr>'Coûts énergies'!Zone_d_impression</vt:lpstr>
      <vt:lpstr>Données!Zone_d_impression</vt:lpstr>
    </vt:vector>
  </TitlesOfParts>
  <Company>De Dietrich Thermique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Administrateur</dc:creator>
  <cp:lastModifiedBy>DIEBOLD Alexandre</cp:lastModifiedBy>
  <cp:lastPrinted>2013-01-31T15:01:18Z</cp:lastPrinted>
  <dcterms:created xsi:type="dcterms:W3CDTF">2004-09-16T05:01:12Z</dcterms:created>
  <dcterms:modified xsi:type="dcterms:W3CDTF">2020-04-03T14:07:42Z</dcterms:modified>
</cp:coreProperties>
</file>