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B0F" lockStructure="1"/>
  <bookViews>
    <workbookView xWindow="-255" yWindow="300" windowWidth="12765" windowHeight="11610" tabRatio="915"/>
  </bookViews>
  <sheets>
    <sheet name="Notice d'utilisation" sheetId="18" r:id="rId1"/>
    <sheet name="Tool ECS" sheetId="8" r:id="rId2"/>
    <sheet name="Préparateur indépendant semi in" sheetId="5" state="hidden" r:id="rId3"/>
    <sheet name="Préparateur indépendant sem ac" sheetId="16" state="hidden" r:id="rId4"/>
    <sheet name="Prep independant pour accumulat" sheetId="15" state="hidden" r:id="rId5"/>
    <sheet name="Calculs" sheetId="7" state="hidden" r:id="rId6"/>
    <sheet name="Consommation journalière" sheetId="10" state="hidden" r:id="rId7"/>
    <sheet name="Graphique Max(Prs Pri)" sheetId="11" state="hidden" r:id="rId8"/>
    <sheet name="Ballons tampons instantané" sheetId="13" state="hidden" r:id="rId9"/>
    <sheet name="Echangeurs à plaque" sheetId="12" state="hidden" r:id="rId10"/>
    <sheet name="Feuil1" sheetId="17" state="hidden" r:id="rId11"/>
    <sheet name="photo inst" sheetId="19" state="hidden" r:id="rId12"/>
    <sheet name="Formules " sheetId="20" r:id="rId13"/>
    <sheet name="Feuil6" sheetId="25" state="hidden" r:id="rId14"/>
    <sheet name="MAJ" sheetId="27" state="hidden" r:id="rId15"/>
  </sheets>
  <definedNames>
    <definedName name="_Toc455582412" localSheetId="12">'Formules '!$B$2</definedName>
    <definedName name="_Toc455582413" localSheetId="12">'Formules '!$B$23</definedName>
    <definedName name="_Toc455582414" localSheetId="12">'Formules '!$B$24</definedName>
    <definedName name="_Toc455582415" localSheetId="12">'Formules '!$B$62</definedName>
    <definedName name="_Toc455582416" localSheetId="12">'Formules '!$B$69</definedName>
    <definedName name="_Toc455582417" localSheetId="12">'Formules '!$B$75</definedName>
    <definedName name="_Toc455582418" localSheetId="12">'Formules '!$B$84</definedName>
    <definedName name="_Toc455582419" localSheetId="12">'Formules '!$B$88</definedName>
    <definedName name="_Toc455582420" localSheetId="12">'Formules '!$B$100</definedName>
    <definedName name="_Toc455582421" localSheetId="12">'Formules '!$B$120</definedName>
    <definedName name="_Toc455582422" localSheetId="12">'Formules '!$B$135</definedName>
    <definedName name="_Toc455582423" localSheetId="12">'Formules '!$B$152</definedName>
    <definedName name="Camping">Calculs!$I$19:$I$21</definedName>
    <definedName name="Collectif">Calculs!$I$3:$I$8</definedName>
    <definedName name="cw">Calculs!$C$18</definedName>
    <definedName name="EPHAD">Calculs!$I$24</definedName>
    <definedName name="Equipement" localSheetId="4">Calculs!#REF!</definedName>
    <definedName name="Equipement" localSheetId="3">Calculs!#REF!</definedName>
    <definedName name="Equipement">Calculs!#REF!</definedName>
    <definedName name="Etablissement_Sportif">Calculs!$I$41</definedName>
    <definedName name="Hôpitaux">Calculs!$I$28</definedName>
    <definedName name="Hôtellerie">Calculs!$I$11:$I$16</definedName>
    <definedName name="imginst">OFFSET('photo inst'!$B$2,'photo inst'!$C$1-1,0)</definedName>
    <definedName name="Internat">Calculs!$I$32</definedName>
    <definedName name="N">'Tool ECS'!$D$36</definedName>
    <definedName name="pw">Calculs!$C$17</definedName>
    <definedName name="Qj">'Tool ECS'!$E$38</definedName>
    <definedName name="Qmax">'Tool ECS'!$E$40</definedName>
    <definedName name="Qph">'Tool ECS'!$E$43</definedName>
    <definedName name="restauration">Calculs!$I$35:$I$38</definedName>
    <definedName name="S">'Tool ECS'!$F$36</definedName>
    <definedName name="Solutions_ECS" localSheetId="4">'Prep independant pour accumulat'!$A$27:$J$138</definedName>
    <definedName name="Solutions_ECS" localSheetId="3">'Préparateur indépendant sem ac'!$A$27:$J$138</definedName>
    <definedName name="Solutions_ECS">'Préparateur indépendant semi in'!$A$27:$J$138</definedName>
    <definedName name="Solutions_Instantané">'Echangeurs à plaque'!$A$27:$J$55</definedName>
    <definedName name="Tamb">Calculs!$C$25</definedName>
    <definedName name="Tecs">'Tool ECS'!$F$28</definedName>
    <definedName name="Tef">Calculs!$C$19</definedName>
    <definedName name="Tmax">'Tool ECS'!$E$41</definedName>
    <definedName name="Tph">'Tool ECS'!$E$44</definedName>
    <definedName name="Tprimaire">'Tool ECS'!$C$28</definedName>
    <definedName name="usine">Calculs!$I$44</definedName>
    <definedName name="Vballonprimaire">'Ballons tampons instantané'!$G$4</definedName>
    <definedName name="Vdifférence">'Ballons tampons instantané'!$H$4</definedName>
    <definedName name="Vstockage">'Tool ECS'!#REF!</definedName>
  </definedNames>
  <calcPr calcId="145621"/>
</workbook>
</file>

<file path=xl/calcChain.xml><?xml version="1.0" encoding="utf-8"?>
<calcChain xmlns="http://schemas.openxmlformats.org/spreadsheetml/2006/main">
  <c r="G32" i="12" l="1"/>
  <c r="R35" i="12"/>
  <c r="U29" i="12"/>
  <c r="K135" i="15" l="1"/>
  <c r="K63" i="5" l="1"/>
  <c r="K62" i="5"/>
  <c r="K61" i="5"/>
  <c r="K59" i="5"/>
  <c r="K57" i="5"/>
  <c r="K47" i="5"/>
  <c r="K48" i="5"/>
  <c r="K49" i="5"/>
  <c r="K51" i="5"/>
  <c r="K52" i="5"/>
  <c r="K53" i="5"/>
  <c r="K56" i="5"/>
  <c r="K58" i="5"/>
  <c r="K60" i="5"/>
  <c r="K64" i="5"/>
  <c r="K65" i="5"/>
  <c r="K66" i="5"/>
  <c r="K67" i="5"/>
  <c r="K68" i="5"/>
  <c r="K69" i="5"/>
  <c r="K70" i="5"/>
  <c r="K71" i="5"/>
  <c r="K72" i="5"/>
  <c r="K73" i="5"/>
  <c r="B121" i="5"/>
  <c r="B120" i="5"/>
  <c r="B117" i="5"/>
  <c r="B116" i="5"/>
  <c r="B115" i="5"/>
  <c r="B112" i="5"/>
  <c r="B111" i="5"/>
  <c r="B84" i="5"/>
  <c r="B83" i="5"/>
  <c r="B80" i="5"/>
  <c r="B79" i="5"/>
  <c r="B78" i="5"/>
  <c r="B75" i="5"/>
  <c r="B74" i="5"/>
  <c r="B47" i="5"/>
  <c r="B46" i="5"/>
  <c r="B43" i="5"/>
  <c r="B41" i="5"/>
  <c r="B40" i="5"/>
  <c r="B38" i="5"/>
  <c r="B37" i="5"/>
  <c r="C127" i="16" l="1"/>
  <c r="C123" i="16"/>
  <c r="C121" i="16"/>
  <c r="C118" i="16"/>
  <c r="C116" i="16"/>
  <c r="C112" i="16"/>
  <c r="C90" i="16"/>
  <c r="C86" i="16"/>
  <c r="C84" i="16"/>
  <c r="C81" i="16"/>
  <c r="C78" i="16"/>
  <c r="C75" i="16"/>
  <c r="C53" i="16"/>
  <c r="C49" i="16"/>
  <c r="C47" i="16"/>
  <c r="C44" i="16"/>
  <c r="C42" i="16"/>
  <c r="C38" i="16"/>
  <c r="B37" i="16"/>
  <c r="C37" i="16"/>
  <c r="B38" i="16"/>
  <c r="B41" i="16"/>
  <c r="C41" i="16"/>
  <c r="B42" i="16"/>
  <c r="B43" i="16"/>
  <c r="C43" i="16"/>
  <c r="B46" i="16"/>
  <c r="C46" i="16"/>
  <c r="B47" i="16"/>
  <c r="C48" i="16"/>
  <c r="C50" i="16"/>
  <c r="C52" i="16"/>
  <c r="C55" i="16"/>
  <c r="B74" i="16"/>
  <c r="C74" i="16"/>
  <c r="B75" i="16"/>
  <c r="B77" i="16"/>
  <c r="C77" i="16"/>
  <c r="B78" i="16"/>
  <c r="B80" i="16"/>
  <c r="C80" i="16"/>
  <c r="B83" i="16"/>
  <c r="C83" i="16"/>
  <c r="B84" i="16"/>
  <c r="C85" i="16"/>
  <c r="C87" i="16"/>
  <c r="C89" i="16"/>
  <c r="C92" i="16"/>
  <c r="B111" i="16"/>
  <c r="C111" i="16"/>
  <c r="B112" i="16"/>
  <c r="B115" i="16"/>
  <c r="C115" i="16"/>
  <c r="B116" i="16"/>
  <c r="B117" i="16"/>
  <c r="C117" i="16"/>
  <c r="B120" i="16"/>
  <c r="C120" i="16"/>
  <c r="B121" i="16"/>
  <c r="C122" i="16"/>
  <c r="C124" i="16"/>
  <c r="C126" i="16"/>
  <c r="C129" i="16"/>
  <c r="C127" i="5"/>
  <c r="C123" i="5"/>
  <c r="C121" i="5"/>
  <c r="C118" i="5"/>
  <c r="C116" i="5"/>
  <c r="C112" i="5"/>
  <c r="C90" i="5"/>
  <c r="C86" i="5"/>
  <c r="C84" i="5"/>
  <c r="C81" i="5"/>
  <c r="C79" i="5"/>
  <c r="C75" i="5"/>
  <c r="C74" i="5"/>
  <c r="C78" i="5"/>
  <c r="C80" i="5"/>
  <c r="C83" i="5"/>
  <c r="C85" i="5"/>
  <c r="C87" i="5"/>
  <c r="C89" i="5"/>
  <c r="C91" i="5"/>
  <c r="C92" i="5"/>
  <c r="C93" i="5"/>
  <c r="C53" i="5"/>
  <c r="C49" i="5"/>
  <c r="C47" i="5"/>
  <c r="C44" i="5"/>
  <c r="C41" i="5"/>
  <c r="C38" i="5"/>
  <c r="C37" i="5"/>
  <c r="C126" i="5" l="1"/>
  <c r="C122" i="5"/>
  <c r="C120" i="5"/>
  <c r="C117" i="5"/>
  <c r="C115" i="5"/>
  <c r="C111" i="5"/>
  <c r="C52" i="5"/>
  <c r="C48" i="5"/>
  <c r="C46" i="5"/>
  <c r="C43" i="5"/>
  <c r="C40" i="5"/>
  <c r="C50" i="5"/>
  <c r="C54" i="5"/>
  <c r="C55" i="5"/>
  <c r="C57" i="5"/>
  <c r="H27" i="5"/>
  <c r="K27" i="5"/>
  <c r="M27" i="5"/>
  <c r="N27" i="5"/>
  <c r="H28" i="5"/>
  <c r="K28" i="5"/>
  <c r="M28" i="5"/>
  <c r="N28" i="5"/>
  <c r="C124" i="5"/>
  <c r="C129" i="5"/>
  <c r="G37" i="16"/>
  <c r="M38" i="8" l="1"/>
  <c r="D8" i="8" l="1"/>
  <c r="J84" i="8" l="1"/>
  <c r="J75" i="8"/>
  <c r="U30" i="12" l="1"/>
  <c r="K98" i="5" l="1"/>
  <c r="F25" i="8" l="1"/>
  <c r="Q13" i="8" l="1"/>
  <c r="Q10" i="8"/>
  <c r="Q15" i="8"/>
  <c r="Q21" i="8"/>
  <c r="Q19" i="8"/>
  <c r="Q17" i="8"/>
  <c r="Q23" i="8"/>
  <c r="Q8" i="8"/>
  <c r="B43" i="8" l="1"/>
  <c r="B40" i="8" l="1"/>
  <c r="H10" i="8"/>
  <c r="Q11" i="8" s="1"/>
  <c r="F26" i="8"/>
  <c r="C26" i="8"/>
  <c r="K5" i="10" l="1"/>
  <c r="A5" i="10"/>
  <c r="U2" i="10"/>
  <c r="W2" i="10" s="1"/>
  <c r="P2" i="10"/>
  <c r="R2" i="10" s="1"/>
  <c r="K2" i="10"/>
  <c r="C54" i="8"/>
  <c r="F2" i="10" l="1"/>
  <c r="A2" i="10"/>
  <c r="C40" i="10" l="1"/>
  <c r="K98" i="16" l="1"/>
  <c r="K135" i="16" s="1"/>
  <c r="H1" i="8" l="1"/>
  <c r="B38" i="8"/>
  <c r="K98" i="15" l="1"/>
  <c r="B40" i="10"/>
  <c r="B36" i="10"/>
  <c r="B32" i="10"/>
  <c r="AG2" i="10"/>
  <c r="K44" i="7"/>
  <c r="K41" i="7"/>
  <c r="K38" i="7"/>
  <c r="K37" i="7"/>
  <c r="K36" i="7"/>
  <c r="K35" i="7"/>
  <c r="K32" i="7"/>
  <c r="K28" i="7"/>
  <c r="Q24" i="7"/>
  <c r="K20" i="7"/>
  <c r="K21" i="7"/>
  <c r="K19" i="7"/>
  <c r="S12" i="7"/>
  <c r="S13" i="7"/>
  <c r="S14" i="7"/>
  <c r="S15" i="7"/>
  <c r="S16" i="7"/>
  <c r="S11" i="7"/>
  <c r="R12" i="7"/>
  <c r="R13" i="7"/>
  <c r="R14" i="7"/>
  <c r="R15" i="7"/>
  <c r="R16" i="7"/>
  <c r="R11" i="7"/>
  <c r="B28" i="10" l="1"/>
  <c r="B24" i="10"/>
  <c r="B20" i="10"/>
  <c r="B16" i="10"/>
  <c r="W144" i="16" l="1"/>
  <c r="W143" i="16"/>
  <c r="W142" i="16"/>
  <c r="W141" i="16"/>
  <c r="W140" i="16"/>
  <c r="W139" i="16"/>
  <c r="W138" i="16"/>
  <c r="L137" i="16"/>
  <c r="M137" i="16" s="1"/>
  <c r="D137" i="16"/>
  <c r="L136" i="16"/>
  <c r="M136" i="16" s="1"/>
  <c r="G136" i="16"/>
  <c r="H136" i="16" s="1"/>
  <c r="N136" i="16" s="1"/>
  <c r="D136" i="16"/>
  <c r="M135" i="16"/>
  <c r="G135" i="16"/>
  <c r="H135" i="16" s="1"/>
  <c r="N135" i="16" s="1"/>
  <c r="D135" i="16"/>
  <c r="M134" i="16"/>
  <c r="H134" i="16"/>
  <c r="N134" i="16" s="1"/>
  <c r="L133" i="16"/>
  <c r="M133" i="16" s="1"/>
  <c r="G133" i="16"/>
  <c r="D133" i="16"/>
  <c r="M132" i="16"/>
  <c r="H132" i="16"/>
  <c r="N132" i="16" s="1"/>
  <c r="L130" i="16"/>
  <c r="M130" i="16" s="1"/>
  <c r="G130" i="16"/>
  <c r="H130" i="16" s="1"/>
  <c r="N130" i="16" s="1"/>
  <c r="D130" i="16"/>
  <c r="M131" i="16"/>
  <c r="H131" i="16"/>
  <c r="N131" i="16" s="1"/>
  <c r="L129" i="16"/>
  <c r="M129" i="16" s="1"/>
  <c r="G129" i="16"/>
  <c r="H129" i="16" s="1"/>
  <c r="N129" i="16" s="1"/>
  <c r="D129" i="16"/>
  <c r="L128" i="16"/>
  <c r="M128" i="16" s="1"/>
  <c r="G128" i="16"/>
  <c r="H128" i="16" s="1"/>
  <c r="N128" i="16" s="1"/>
  <c r="D128" i="16"/>
  <c r="L127" i="16"/>
  <c r="M127" i="16" s="1"/>
  <c r="G127" i="16"/>
  <c r="H127" i="16" s="1"/>
  <c r="N127" i="16" s="1"/>
  <c r="L126" i="16"/>
  <c r="M126" i="16" s="1"/>
  <c r="G126" i="16"/>
  <c r="H126" i="16" s="1"/>
  <c r="N126" i="16" s="1"/>
  <c r="M125" i="16"/>
  <c r="H125" i="16"/>
  <c r="N125" i="16" s="1"/>
  <c r="L124" i="16"/>
  <c r="M124" i="16" s="1"/>
  <c r="G124" i="16"/>
  <c r="H124" i="16" s="1"/>
  <c r="N124" i="16" s="1"/>
  <c r="D124" i="16"/>
  <c r="L123" i="16"/>
  <c r="M123" i="16" s="1"/>
  <c r="G123" i="16"/>
  <c r="H123" i="16" s="1"/>
  <c r="N123" i="16" s="1"/>
  <c r="L122" i="16"/>
  <c r="M122" i="16" s="1"/>
  <c r="G122" i="16"/>
  <c r="H122" i="16" s="1"/>
  <c r="N122" i="16" s="1"/>
  <c r="L121" i="16"/>
  <c r="M121" i="16" s="1"/>
  <c r="G121" i="16"/>
  <c r="H121" i="16" s="1"/>
  <c r="N121" i="16" s="1"/>
  <c r="L120" i="16"/>
  <c r="M120" i="16" s="1"/>
  <c r="G120" i="16"/>
  <c r="H120" i="16" s="1"/>
  <c r="N120" i="16" s="1"/>
  <c r="M119" i="16"/>
  <c r="H119" i="16"/>
  <c r="N119" i="16" s="1"/>
  <c r="L118" i="16"/>
  <c r="M118" i="16" s="1"/>
  <c r="G118" i="16"/>
  <c r="H118" i="16" s="1"/>
  <c r="N118" i="16" s="1"/>
  <c r="L117" i="16"/>
  <c r="M117" i="16" s="1"/>
  <c r="G117" i="16"/>
  <c r="H117" i="16" s="1"/>
  <c r="N117" i="16" s="1"/>
  <c r="N114" i="16"/>
  <c r="M114" i="16"/>
  <c r="H114" i="16"/>
  <c r="L116" i="16"/>
  <c r="M116" i="16" s="1"/>
  <c r="G116" i="16"/>
  <c r="H116" i="16" s="1"/>
  <c r="N116" i="16" s="1"/>
  <c r="L115" i="16"/>
  <c r="M115" i="16" s="1"/>
  <c r="G115" i="16"/>
  <c r="H115" i="16" s="1"/>
  <c r="N115" i="16" s="1"/>
  <c r="N113" i="16"/>
  <c r="M113" i="16"/>
  <c r="H113" i="16"/>
  <c r="L112" i="16"/>
  <c r="M112" i="16" s="1"/>
  <c r="G112" i="16"/>
  <c r="H112" i="16" s="1"/>
  <c r="N112" i="16" s="1"/>
  <c r="L111" i="16"/>
  <c r="M111" i="16" s="1"/>
  <c r="H111" i="16"/>
  <c r="N111" i="16" s="1"/>
  <c r="M110" i="16"/>
  <c r="H110" i="16"/>
  <c r="N110" i="16" s="1"/>
  <c r="M109" i="16"/>
  <c r="H109" i="16"/>
  <c r="N109" i="16" s="1"/>
  <c r="M108" i="16"/>
  <c r="H108" i="16"/>
  <c r="N108" i="16" s="1"/>
  <c r="M107" i="16"/>
  <c r="H107" i="16"/>
  <c r="N107" i="16" s="1"/>
  <c r="M106" i="16"/>
  <c r="H106" i="16"/>
  <c r="N106" i="16" s="1"/>
  <c r="M105" i="16"/>
  <c r="H105" i="16"/>
  <c r="N105" i="16" s="1"/>
  <c r="M104" i="16"/>
  <c r="H104" i="16"/>
  <c r="N104" i="16" s="1"/>
  <c r="M103" i="16"/>
  <c r="H103" i="16"/>
  <c r="N103" i="16" s="1"/>
  <c r="M102" i="16"/>
  <c r="H102" i="16"/>
  <c r="N102" i="16" s="1"/>
  <c r="M101" i="16"/>
  <c r="H101" i="16"/>
  <c r="N101" i="16" s="1"/>
  <c r="M100" i="16"/>
  <c r="K100" i="16"/>
  <c r="K137" i="16" s="1"/>
  <c r="G100" i="16"/>
  <c r="H100" i="16" s="1"/>
  <c r="N100" i="16" s="1"/>
  <c r="D100" i="16"/>
  <c r="M99" i="16"/>
  <c r="K99" i="16"/>
  <c r="K136" i="16" s="1"/>
  <c r="G99" i="16"/>
  <c r="H99" i="16" s="1"/>
  <c r="N99" i="16" s="1"/>
  <c r="D99" i="16"/>
  <c r="L98" i="16"/>
  <c r="M98" i="16" s="1"/>
  <c r="G98" i="16"/>
  <c r="H98" i="16" s="1"/>
  <c r="N98" i="16" s="1"/>
  <c r="D98" i="16"/>
  <c r="M97" i="16"/>
  <c r="H97" i="16"/>
  <c r="N97" i="16" s="1"/>
  <c r="M96" i="16"/>
  <c r="K96" i="16"/>
  <c r="K133" i="16" s="1"/>
  <c r="G96" i="16"/>
  <c r="H96" i="16" s="1"/>
  <c r="N96" i="16" s="1"/>
  <c r="D96" i="16"/>
  <c r="M95" i="16"/>
  <c r="H95" i="16"/>
  <c r="N95" i="16" s="1"/>
  <c r="M93" i="16"/>
  <c r="L93" i="16"/>
  <c r="K93" i="16"/>
  <c r="K130" i="16" s="1"/>
  <c r="G93" i="16"/>
  <c r="H93" i="16" s="1"/>
  <c r="N93" i="16" s="1"/>
  <c r="D93" i="16"/>
  <c r="M94" i="16"/>
  <c r="H94" i="16"/>
  <c r="N94" i="16" s="1"/>
  <c r="M92" i="16"/>
  <c r="K92" i="16"/>
  <c r="K129" i="16" s="1"/>
  <c r="G92" i="16"/>
  <c r="H92" i="16" s="1"/>
  <c r="N92" i="16" s="1"/>
  <c r="D92" i="16"/>
  <c r="L91" i="16"/>
  <c r="M91" i="16" s="1"/>
  <c r="K91" i="16"/>
  <c r="K128" i="16" s="1"/>
  <c r="G91" i="16"/>
  <c r="H91" i="16" s="1"/>
  <c r="N91" i="16" s="1"/>
  <c r="D91" i="16"/>
  <c r="L90" i="16"/>
  <c r="M90" i="16" s="1"/>
  <c r="G90" i="16"/>
  <c r="H90" i="16" s="1"/>
  <c r="N90" i="16" s="1"/>
  <c r="L89" i="16"/>
  <c r="M89" i="16" s="1"/>
  <c r="G89" i="16"/>
  <c r="H89" i="16" s="1"/>
  <c r="N89" i="16" s="1"/>
  <c r="M88" i="16"/>
  <c r="H88" i="16"/>
  <c r="N88" i="16" s="1"/>
  <c r="L87" i="16"/>
  <c r="M87" i="16" s="1"/>
  <c r="K87" i="16"/>
  <c r="K124" i="16" s="1"/>
  <c r="G87" i="16"/>
  <c r="H87" i="16" s="1"/>
  <c r="N87" i="16" s="1"/>
  <c r="D87" i="16"/>
  <c r="L86" i="16"/>
  <c r="M86" i="16" s="1"/>
  <c r="G86" i="16"/>
  <c r="H86" i="16" s="1"/>
  <c r="N86" i="16" s="1"/>
  <c r="L85" i="16"/>
  <c r="M85" i="16" s="1"/>
  <c r="G85" i="16"/>
  <c r="H85" i="16" s="1"/>
  <c r="N85" i="16" s="1"/>
  <c r="L84" i="16"/>
  <c r="M84" i="16" s="1"/>
  <c r="G84" i="16"/>
  <c r="H84" i="16" s="1"/>
  <c r="N84" i="16" s="1"/>
  <c r="L83" i="16"/>
  <c r="M83" i="16" s="1"/>
  <c r="G83" i="16"/>
  <c r="H83" i="16" s="1"/>
  <c r="N83" i="16" s="1"/>
  <c r="M82" i="16"/>
  <c r="K82" i="16"/>
  <c r="K119" i="16" s="1"/>
  <c r="H82" i="16"/>
  <c r="N82" i="16" s="1"/>
  <c r="L81" i="16"/>
  <c r="M81" i="16" s="1"/>
  <c r="G81" i="16"/>
  <c r="H81" i="16" s="1"/>
  <c r="N81" i="16" s="1"/>
  <c r="L80" i="16"/>
  <c r="M80" i="16" s="1"/>
  <c r="G80" i="16"/>
  <c r="H80" i="16" s="1"/>
  <c r="N80" i="16" s="1"/>
  <c r="M79" i="16"/>
  <c r="K79" i="16"/>
  <c r="K114" i="16" s="1"/>
  <c r="H79" i="16"/>
  <c r="N79" i="16" s="1"/>
  <c r="L78" i="16"/>
  <c r="M78" i="16" s="1"/>
  <c r="G78" i="16"/>
  <c r="H78" i="16" s="1"/>
  <c r="N78" i="16" s="1"/>
  <c r="L77" i="16"/>
  <c r="M77" i="16" s="1"/>
  <c r="G77" i="16"/>
  <c r="H77" i="16" s="1"/>
  <c r="N77" i="16" s="1"/>
  <c r="M76" i="16"/>
  <c r="K76" i="16"/>
  <c r="K113" i="16" s="1"/>
  <c r="H76" i="16"/>
  <c r="N76" i="16" s="1"/>
  <c r="L75" i="16"/>
  <c r="M75" i="16" s="1"/>
  <c r="G75" i="16"/>
  <c r="H75" i="16" s="1"/>
  <c r="N75" i="16" s="1"/>
  <c r="L74" i="16"/>
  <c r="M74" i="16" s="1"/>
  <c r="G74" i="16"/>
  <c r="H74" i="16" s="1"/>
  <c r="N74" i="16" s="1"/>
  <c r="M73" i="16"/>
  <c r="H73" i="16"/>
  <c r="N73" i="16" s="1"/>
  <c r="M72" i="16"/>
  <c r="H72" i="16"/>
  <c r="N72" i="16" s="1"/>
  <c r="M71" i="16"/>
  <c r="H71" i="16"/>
  <c r="N71" i="16" s="1"/>
  <c r="M70" i="16"/>
  <c r="H70" i="16"/>
  <c r="N70" i="16" s="1"/>
  <c r="M69" i="16"/>
  <c r="H69" i="16"/>
  <c r="N69" i="16" s="1"/>
  <c r="M68" i="16"/>
  <c r="H68" i="16"/>
  <c r="N68" i="16" s="1"/>
  <c r="M67" i="16"/>
  <c r="H67" i="16"/>
  <c r="N67" i="16" s="1"/>
  <c r="M66" i="16"/>
  <c r="H66" i="16"/>
  <c r="N66" i="16" s="1"/>
  <c r="M65" i="16"/>
  <c r="H65" i="16"/>
  <c r="N65" i="16" s="1"/>
  <c r="M64" i="16"/>
  <c r="H64" i="16"/>
  <c r="N64" i="16" s="1"/>
  <c r="M63" i="16"/>
  <c r="G63" i="16"/>
  <c r="H63" i="16" s="1"/>
  <c r="N63" i="16" s="1"/>
  <c r="D63" i="16"/>
  <c r="M62" i="16"/>
  <c r="G62" i="16"/>
  <c r="H62" i="16" s="1"/>
  <c r="N62" i="16" s="1"/>
  <c r="D62" i="16"/>
  <c r="L61" i="16"/>
  <c r="M61" i="16" s="1"/>
  <c r="G61" i="16"/>
  <c r="H61" i="16" s="1"/>
  <c r="N61" i="16" s="1"/>
  <c r="D61" i="16"/>
  <c r="M60" i="16"/>
  <c r="K60" i="16"/>
  <c r="K97" i="16" s="1"/>
  <c r="K134" i="16" s="1"/>
  <c r="H60" i="16"/>
  <c r="N60" i="16" s="1"/>
  <c r="M59" i="16"/>
  <c r="G59" i="16"/>
  <c r="H59" i="16" s="1"/>
  <c r="N59" i="16" s="1"/>
  <c r="D59" i="16"/>
  <c r="M58" i="16"/>
  <c r="K58" i="16"/>
  <c r="K95" i="16" s="1"/>
  <c r="K132" i="16" s="1"/>
  <c r="H58" i="16"/>
  <c r="N58" i="16" s="1"/>
  <c r="L56" i="16"/>
  <c r="M56" i="16" s="1"/>
  <c r="G56" i="16"/>
  <c r="H56" i="16" s="1"/>
  <c r="N56" i="16" s="1"/>
  <c r="D56" i="16"/>
  <c r="M57" i="16"/>
  <c r="K57" i="16"/>
  <c r="K94" i="16" s="1"/>
  <c r="K131" i="16" s="1"/>
  <c r="H57" i="16"/>
  <c r="N57" i="16" s="1"/>
  <c r="L55" i="16"/>
  <c r="M55" i="16" s="1"/>
  <c r="G55" i="16"/>
  <c r="H55" i="16" s="1"/>
  <c r="N55" i="16" s="1"/>
  <c r="D55" i="16"/>
  <c r="L54" i="16"/>
  <c r="M54" i="16" s="1"/>
  <c r="G54" i="16"/>
  <c r="H54" i="16" s="1"/>
  <c r="N54" i="16" s="1"/>
  <c r="D54" i="16"/>
  <c r="L53" i="16"/>
  <c r="M53" i="16" s="1"/>
  <c r="K53" i="16"/>
  <c r="K90" i="16" s="1"/>
  <c r="K127" i="16" s="1"/>
  <c r="G53" i="16"/>
  <c r="H53" i="16" s="1"/>
  <c r="N53" i="16" s="1"/>
  <c r="L52" i="16"/>
  <c r="M52" i="16" s="1"/>
  <c r="K52" i="16"/>
  <c r="K89" i="16" s="1"/>
  <c r="K126" i="16" s="1"/>
  <c r="G52" i="16"/>
  <c r="H52" i="16" s="1"/>
  <c r="N52" i="16" s="1"/>
  <c r="M51" i="16"/>
  <c r="K51" i="16"/>
  <c r="K88" i="16" s="1"/>
  <c r="K125" i="16" s="1"/>
  <c r="H51" i="16"/>
  <c r="N51" i="16" s="1"/>
  <c r="L50" i="16"/>
  <c r="M50" i="16" s="1"/>
  <c r="G50" i="16"/>
  <c r="H50" i="16" s="1"/>
  <c r="N50" i="16" s="1"/>
  <c r="D50" i="16"/>
  <c r="L49" i="16"/>
  <c r="M49" i="16" s="1"/>
  <c r="K49" i="16"/>
  <c r="K86" i="16" s="1"/>
  <c r="K123" i="16" s="1"/>
  <c r="G49" i="16"/>
  <c r="H49" i="16" s="1"/>
  <c r="N49" i="16" s="1"/>
  <c r="L48" i="16"/>
  <c r="M48" i="16" s="1"/>
  <c r="K48" i="16"/>
  <c r="K85" i="16" s="1"/>
  <c r="K122" i="16" s="1"/>
  <c r="G48" i="16"/>
  <c r="H48" i="16" s="1"/>
  <c r="N48" i="16" s="1"/>
  <c r="L47" i="16"/>
  <c r="M47" i="16" s="1"/>
  <c r="K47" i="16"/>
  <c r="K84" i="16" s="1"/>
  <c r="K121" i="16" s="1"/>
  <c r="G47" i="16"/>
  <c r="H47" i="16" s="1"/>
  <c r="N47" i="16" s="1"/>
  <c r="L46" i="16"/>
  <c r="M46" i="16" s="1"/>
  <c r="K46" i="16"/>
  <c r="K83" i="16" s="1"/>
  <c r="K120" i="16" s="1"/>
  <c r="G46" i="16"/>
  <c r="H46" i="16" s="1"/>
  <c r="N46" i="16" s="1"/>
  <c r="M45" i="16"/>
  <c r="H45" i="16"/>
  <c r="N45" i="16" s="1"/>
  <c r="L44" i="16"/>
  <c r="M44" i="16" s="1"/>
  <c r="K44" i="16"/>
  <c r="K81" i="16" s="1"/>
  <c r="K118" i="16" s="1"/>
  <c r="G44" i="16"/>
  <c r="H44" i="16" s="1"/>
  <c r="N44" i="16" s="1"/>
  <c r="L43" i="16"/>
  <c r="M43" i="16" s="1"/>
  <c r="K43" i="16"/>
  <c r="K80" i="16" s="1"/>
  <c r="K117" i="16" s="1"/>
  <c r="G43" i="16"/>
  <c r="H43" i="16" s="1"/>
  <c r="N43" i="16" s="1"/>
  <c r="M40" i="16"/>
  <c r="H40" i="16"/>
  <c r="N40" i="16" s="1"/>
  <c r="L42" i="16"/>
  <c r="M42" i="16" s="1"/>
  <c r="K42" i="16"/>
  <c r="K78" i="16" s="1"/>
  <c r="K116" i="16" s="1"/>
  <c r="G42" i="16"/>
  <c r="H42" i="16" s="1"/>
  <c r="N42" i="16" s="1"/>
  <c r="L41" i="16"/>
  <c r="M41" i="16" s="1"/>
  <c r="K41" i="16"/>
  <c r="K77" i="16" s="1"/>
  <c r="K115" i="16" s="1"/>
  <c r="G41" i="16"/>
  <c r="H41" i="16" s="1"/>
  <c r="N41" i="16" s="1"/>
  <c r="M39" i="16"/>
  <c r="H39" i="16"/>
  <c r="N39" i="16" s="1"/>
  <c r="L38" i="16"/>
  <c r="M38" i="16" s="1"/>
  <c r="K38" i="16"/>
  <c r="K75" i="16" s="1"/>
  <c r="K112" i="16" s="1"/>
  <c r="G38" i="16"/>
  <c r="H38" i="16" s="1"/>
  <c r="N38" i="16" s="1"/>
  <c r="L37" i="16"/>
  <c r="M37" i="16" s="1"/>
  <c r="K37" i="16"/>
  <c r="K74" i="16" s="1"/>
  <c r="K111" i="16" s="1"/>
  <c r="H37" i="16"/>
  <c r="N37" i="16" s="1"/>
  <c r="M36" i="16"/>
  <c r="K36" i="16"/>
  <c r="K73" i="16" s="1"/>
  <c r="K110" i="16" s="1"/>
  <c r="H36" i="16"/>
  <c r="N36" i="16" s="1"/>
  <c r="M35" i="16"/>
  <c r="K35" i="16"/>
  <c r="K72" i="16" s="1"/>
  <c r="K109" i="16" s="1"/>
  <c r="H35" i="16"/>
  <c r="N35" i="16" s="1"/>
  <c r="M34" i="16"/>
  <c r="K34" i="16"/>
  <c r="K71" i="16" s="1"/>
  <c r="K108" i="16" s="1"/>
  <c r="H34" i="16"/>
  <c r="N34" i="16" s="1"/>
  <c r="M33" i="16"/>
  <c r="K33" i="16"/>
  <c r="K70" i="16" s="1"/>
  <c r="K107" i="16" s="1"/>
  <c r="H33" i="16"/>
  <c r="N33" i="16" s="1"/>
  <c r="M32" i="16"/>
  <c r="K32" i="16"/>
  <c r="K69" i="16" s="1"/>
  <c r="K106" i="16" s="1"/>
  <c r="H32" i="16"/>
  <c r="N32" i="16" s="1"/>
  <c r="M31" i="16"/>
  <c r="K31" i="16"/>
  <c r="K68" i="16" s="1"/>
  <c r="K105" i="16" s="1"/>
  <c r="H31" i="16"/>
  <c r="N31" i="16" s="1"/>
  <c r="M30" i="16"/>
  <c r="K30" i="16"/>
  <c r="K67" i="16" s="1"/>
  <c r="K104" i="16" s="1"/>
  <c r="H30" i="16"/>
  <c r="N30" i="16" s="1"/>
  <c r="M29" i="16"/>
  <c r="K29" i="16"/>
  <c r="K66" i="16" s="1"/>
  <c r="K103" i="16" s="1"/>
  <c r="H29" i="16"/>
  <c r="N29" i="16" s="1"/>
  <c r="M28" i="16"/>
  <c r="K28" i="16"/>
  <c r="K65" i="16" s="1"/>
  <c r="K102" i="16" s="1"/>
  <c r="H28" i="16"/>
  <c r="N28" i="16" s="1"/>
  <c r="M27" i="16"/>
  <c r="K27" i="16"/>
  <c r="K64" i="16" s="1"/>
  <c r="K101" i="16" s="1"/>
  <c r="H27" i="16"/>
  <c r="N27" i="16" s="1"/>
  <c r="B1" i="16"/>
  <c r="H133" i="16" l="1"/>
  <c r="N133" i="16" s="1"/>
  <c r="G137" i="16"/>
  <c r="H137" i="16" s="1"/>
  <c r="N137" i="16" s="1"/>
  <c r="F10" i="8" l="1"/>
  <c r="W144" i="15"/>
  <c r="W143" i="15"/>
  <c r="W142" i="15"/>
  <c r="W141" i="15"/>
  <c r="W140" i="15"/>
  <c r="W139" i="15"/>
  <c r="W138" i="15"/>
  <c r="L137" i="15"/>
  <c r="M137" i="15" s="1"/>
  <c r="D137" i="15"/>
  <c r="L136" i="15"/>
  <c r="M136" i="15" s="1"/>
  <c r="H136" i="15"/>
  <c r="N136" i="15" s="1"/>
  <c r="G136" i="15"/>
  <c r="D136" i="15"/>
  <c r="M135" i="15"/>
  <c r="G135" i="15"/>
  <c r="H135" i="15" s="1"/>
  <c r="N135" i="15" s="1"/>
  <c r="D135" i="15"/>
  <c r="M134" i="15"/>
  <c r="H134" i="15"/>
  <c r="N134" i="15" s="1"/>
  <c r="L133" i="15"/>
  <c r="M133" i="15" s="1"/>
  <c r="G133" i="15"/>
  <c r="H133" i="15" s="1"/>
  <c r="N133" i="15" s="1"/>
  <c r="D133" i="15"/>
  <c r="M132" i="15"/>
  <c r="H132" i="15"/>
  <c r="N132" i="15" s="1"/>
  <c r="L130" i="15"/>
  <c r="M130" i="15" s="1"/>
  <c r="G130" i="15"/>
  <c r="H130" i="15" s="1"/>
  <c r="N130" i="15" s="1"/>
  <c r="D130" i="15"/>
  <c r="M131" i="15"/>
  <c r="H131" i="15"/>
  <c r="N131" i="15" s="1"/>
  <c r="L129" i="15"/>
  <c r="M129" i="15" s="1"/>
  <c r="G129" i="15"/>
  <c r="H129" i="15" s="1"/>
  <c r="N129" i="15" s="1"/>
  <c r="D129" i="15"/>
  <c r="L128" i="15"/>
  <c r="M128" i="15" s="1"/>
  <c r="G128" i="15"/>
  <c r="H128" i="15" s="1"/>
  <c r="N128" i="15" s="1"/>
  <c r="D128" i="15"/>
  <c r="L127" i="15"/>
  <c r="M127" i="15" s="1"/>
  <c r="G127" i="15"/>
  <c r="H127" i="15" s="1"/>
  <c r="N127" i="15" s="1"/>
  <c r="L126" i="15"/>
  <c r="M126" i="15" s="1"/>
  <c r="G126" i="15"/>
  <c r="H126" i="15" s="1"/>
  <c r="N126" i="15" s="1"/>
  <c r="M125" i="15"/>
  <c r="H125" i="15"/>
  <c r="N125" i="15" s="1"/>
  <c r="N124" i="15"/>
  <c r="L124" i="15"/>
  <c r="M124" i="15" s="1"/>
  <c r="G124" i="15"/>
  <c r="H124" i="15" s="1"/>
  <c r="D124" i="15"/>
  <c r="L123" i="15"/>
  <c r="M123" i="15" s="1"/>
  <c r="G123" i="15"/>
  <c r="H123" i="15" s="1"/>
  <c r="N123" i="15" s="1"/>
  <c r="L122" i="15"/>
  <c r="M122" i="15" s="1"/>
  <c r="G122" i="15"/>
  <c r="H122" i="15" s="1"/>
  <c r="N122" i="15" s="1"/>
  <c r="L121" i="15"/>
  <c r="M121" i="15" s="1"/>
  <c r="G121" i="15"/>
  <c r="H121" i="15" s="1"/>
  <c r="N121" i="15" s="1"/>
  <c r="L120" i="15"/>
  <c r="M120" i="15" s="1"/>
  <c r="G120" i="15"/>
  <c r="H120" i="15" s="1"/>
  <c r="N120" i="15" s="1"/>
  <c r="M119" i="15"/>
  <c r="H119" i="15"/>
  <c r="N119" i="15" s="1"/>
  <c r="L118" i="15"/>
  <c r="M118" i="15" s="1"/>
  <c r="G118" i="15"/>
  <c r="H118" i="15" s="1"/>
  <c r="N118" i="15" s="1"/>
  <c r="L117" i="15"/>
  <c r="M117" i="15" s="1"/>
  <c r="G117" i="15"/>
  <c r="H117" i="15" s="1"/>
  <c r="N117" i="15" s="1"/>
  <c r="M114" i="15"/>
  <c r="H114" i="15"/>
  <c r="N114" i="15" s="1"/>
  <c r="L116" i="15"/>
  <c r="M116" i="15" s="1"/>
  <c r="G116" i="15"/>
  <c r="H116" i="15" s="1"/>
  <c r="N116" i="15" s="1"/>
  <c r="L115" i="15"/>
  <c r="M115" i="15" s="1"/>
  <c r="G115" i="15"/>
  <c r="H115" i="15" s="1"/>
  <c r="N115" i="15" s="1"/>
  <c r="M113" i="15"/>
  <c r="H113" i="15"/>
  <c r="N113" i="15" s="1"/>
  <c r="L112" i="15"/>
  <c r="M112" i="15" s="1"/>
  <c r="G112" i="15"/>
  <c r="H112" i="15" s="1"/>
  <c r="N112" i="15" s="1"/>
  <c r="L111" i="15"/>
  <c r="M111" i="15" s="1"/>
  <c r="H111" i="15"/>
  <c r="N111" i="15" s="1"/>
  <c r="M110" i="15"/>
  <c r="H110" i="15"/>
  <c r="N110" i="15" s="1"/>
  <c r="M109" i="15"/>
  <c r="H109" i="15"/>
  <c r="N109" i="15" s="1"/>
  <c r="M108" i="15"/>
  <c r="H108" i="15"/>
  <c r="N108" i="15" s="1"/>
  <c r="M107" i="15"/>
  <c r="H107" i="15"/>
  <c r="N107" i="15" s="1"/>
  <c r="M106" i="15"/>
  <c r="H106" i="15"/>
  <c r="N106" i="15" s="1"/>
  <c r="M105" i="15"/>
  <c r="H105" i="15"/>
  <c r="N105" i="15" s="1"/>
  <c r="M104" i="15"/>
  <c r="H104" i="15"/>
  <c r="N104" i="15" s="1"/>
  <c r="M103" i="15"/>
  <c r="H103" i="15"/>
  <c r="N103" i="15" s="1"/>
  <c r="M102" i="15"/>
  <c r="H102" i="15"/>
  <c r="N102" i="15" s="1"/>
  <c r="M101" i="15"/>
  <c r="H101" i="15"/>
  <c r="N101" i="15" s="1"/>
  <c r="M100" i="15"/>
  <c r="K100" i="15"/>
  <c r="K137" i="15" s="1"/>
  <c r="G100" i="15"/>
  <c r="H100" i="15" s="1"/>
  <c r="N100" i="15" s="1"/>
  <c r="D100" i="15"/>
  <c r="M99" i="15"/>
  <c r="K99" i="15"/>
  <c r="K136" i="15" s="1"/>
  <c r="G99" i="15"/>
  <c r="H99" i="15" s="1"/>
  <c r="N99" i="15" s="1"/>
  <c r="D99" i="15"/>
  <c r="L98" i="15"/>
  <c r="M98" i="15" s="1"/>
  <c r="G98" i="15"/>
  <c r="H98" i="15" s="1"/>
  <c r="N98" i="15" s="1"/>
  <c r="D98" i="15"/>
  <c r="M97" i="15"/>
  <c r="H97" i="15"/>
  <c r="N97" i="15" s="1"/>
  <c r="M96" i="15"/>
  <c r="K96" i="15"/>
  <c r="K133" i="15" s="1"/>
  <c r="G96" i="15"/>
  <c r="H96" i="15" s="1"/>
  <c r="N96" i="15" s="1"/>
  <c r="D96" i="15"/>
  <c r="M95" i="15"/>
  <c r="H95" i="15"/>
  <c r="N95" i="15" s="1"/>
  <c r="L93" i="15"/>
  <c r="M93" i="15" s="1"/>
  <c r="K93" i="15"/>
  <c r="K130" i="15" s="1"/>
  <c r="G93" i="15"/>
  <c r="H93" i="15" s="1"/>
  <c r="N93" i="15" s="1"/>
  <c r="D93" i="15"/>
  <c r="M94" i="15"/>
  <c r="H94" i="15"/>
  <c r="N94" i="15" s="1"/>
  <c r="M92" i="15"/>
  <c r="K92" i="15"/>
  <c r="K129" i="15" s="1"/>
  <c r="G92" i="15"/>
  <c r="H92" i="15" s="1"/>
  <c r="N92" i="15" s="1"/>
  <c r="D92" i="15"/>
  <c r="L91" i="15"/>
  <c r="M91" i="15" s="1"/>
  <c r="K91" i="15"/>
  <c r="K128" i="15" s="1"/>
  <c r="G91" i="15"/>
  <c r="H91" i="15" s="1"/>
  <c r="N91" i="15" s="1"/>
  <c r="D91" i="15"/>
  <c r="L90" i="15"/>
  <c r="M90" i="15" s="1"/>
  <c r="G90" i="15"/>
  <c r="H90" i="15" s="1"/>
  <c r="N90" i="15" s="1"/>
  <c r="L89" i="15"/>
  <c r="M89" i="15" s="1"/>
  <c r="G89" i="15"/>
  <c r="H89" i="15" s="1"/>
  <c r="N89" i="15" s="1"/>
  <c r="M88" i="15"/>
  <c r="H88" i="15"/>
  <c r="N88" i="15" s="1"/>
  <c r="L87" i="15"/>
  <c r="M87" i="15" s="1"/>
  <c r="K87" i="15"/>
  <c r="K124" i="15" s="1"/>
  <c r="G87" i="15"/>
  <c r="H87" i="15" s="1"/>
  <c r="N87" i="15" s="1"/>
  <c r="D87" i="15"/>
  <c r="L86" i="15"/>
  <c r="M86" i="15" s="1"/>
  <c r="G86" i="15"/>
  <c r="H86" i="15" s="1"/>
  <c r="N86" i="15" s="1"/>
  <c r="L85" i="15"/>
  <c r="M85" i="15" s="1"/>
  <c r="G85" i="15"/>
  <c r="H85" i="15" s="1"/>
  <c r="N85" i="15" s="1"/>
  <c r="L84" i="15"/>
  <c r="M84" i="15" s="1"/>
  <c r="G84" i="15"/>
  <c r="H84" i="15" s="1"/>
  <c r="N84" i="15" s="1"/>
  <c r="L83" i="15"/>
  <c r="M83" i="15" s="1"/>
  <c r="G83" i="15"/>
  <c r="H83" i="15" s="1"/>
  <c r="N83" i="15" s="1"/>
  <c r="M82" i="15"/>
  <c r="K82" i="15"/>
  <c r="K119" i="15" s="1"/>
  <c r="H82" i="15"/>
  <c r="N82" i="15" s="1"/>
  <c r="L81" i="15"/>
  <c r="M81" i="15" s="1"/>
  <c r="G81" i="15"/>
  <c r="H81" i="15" s="1"/>
  <c r="N81" i="15" s="1"/>
  <c r="L80" i="15"/>
  <c r="M80" i="15" s="1"/>
  <c r="G80" i="15"/>
  <c r="H80" i="15" s="1"/>
  <c r="N80" i="15" s="1"/>
  <c r="M79" i="15"/>
  <c r="K79" i="15"/>
  <c r="K114" i="15" s="1"/>
  <c r="H79" i="15"/>
  <c r="N79" i="15" s="1"/>
  <c r="L78" i="15"/>
  <c r="M78" i="15" s="1"/>
  <c r="G78" i="15"/>
  <c r="H78" i="15" s="1"/>
  <c r="N78" i="15" s="1"/>
  <c r="L77" i="15"/>
  <c r="M77" i="15" s="1"/>
  <c r="G77" i="15"/>
  <c r="H77" i="15" s="1"/>
  <c r="N77" i="15" s="1"/>
  <c r="M76" i="15"/>
  <c r="K76" i="15"/>
  <c r="K113" i="15" s="1"/>
  <c r="H76" i="15"/>
  <c r="N76" i="15" s="1"/>
  <c r="L75" i="15"/>
  <c r="M75" i="15" s="1"/>
  <c r="G75" i="15"/>
  <c r="H75" i="15" s="1"/>
  <c r="N75" i="15" s="1"/>
  <c r="L74" i="15"/>
  <c r="M74" i="15" s="1"/>
  <c r="G74" i="15"/>
  <c r="H74" i="15" s="1"/>
  <c r="N74" i="15" s="1"/>
  <c r="M73" i="15"/>
  <c r="H73" i="15"/>
  <c r="N73" i="15" s="1"/>
  <c r="M72" i="15"/>
  <c r="H72" i="15"/>
  <c r="N72" i="15" s="1"/>
  <c r="M71" i="15"/>
  <c r="H71" i="15"/>
  <c r="N71" i="15" s="1"/>
  <c r="M70" i="15"/>
  <c r="H70" i="15"/>
  <c r="N70" i="15" s="1"/>
  <c r="M69" i="15"/>
  <c r="H69" i="15"/>
  <c r="N69" i="15" s="1"/>
  <c r="M68" i="15"/>
  <c r="H68" i="15"/>
  <c r="N68" i="15" s="1"/>
  <c r="M67" i="15"/>
  <c r="H67" i="15"/>
  <c r="N67" i="15" s="1"/>
  <c r="M66" i="15"/>
  <c r="H66" i="15"/>
  <c r="N66" i="15" s="1"/>
  <c r="M65" i="15"/>
  <c r="H65" i="15"/>
  <c r="N65" i="15" s="1"/>
  <c r="M64" i="15"/>
  <c r="H64" i="15"/>
  <c r="N64" i="15" s="1"/>
  <c r="M63" i="15"/>
  <c r="G63" i="15"/>
  <c r="H63" i="15" s="1"/>
  <c r="N63" i="15" s="1"/>
  <c r="D63" i="15"/>
  <c r="M62" i="15"/>
  <c r="G62" i="15"/>
  <c r="H62" i="15" s="1"/>
  <c r="N62" i="15" s="1"/>
  <c r="D62" i="15"/>
  <c r="L61" i="15"/>
  <c r="M61" i="15" s="1"/>
  <c r="G61" i="15"/>
  <c r="H61" i="15" s="1"/>
  <c r="N61" i="15" s="1"/>
  <c r="D61" i="15"/>
  <c r="M60" i="15"/>
  <c r="K60" i="15"/>
  <c r="K97" i="15" s="1"/>
  <c r="K134" i="15" s="1"/>
  <c r="H60" i="15"/>
  <c r="N60" i="15" s="1"/>
  <c r="M59" i="15"/>
  <c r="G59" i="15"/>
  <c r="H59" i="15" s="1"/>
  <c r="N59" i="15" s="1"/>
  <c r="D59" i="15"/>
  <c r="M58" i="15"/>
  <c r="K58" i="15"/>
  <c r="K95" i="15" s="1"/>
  <c r="K132" i="15" s="1"/>
  <c r="H58" i="15"/>
  <c r="N58" i="15" s="1"/>
  <c r="L56" i="15"/>
  <c r="M56" i="15" s="1"/>
  <c r="G56" i="15"/>
  <c r="H56" i="15" s="1"/>
  <c r="N56" i="15" s="1"/>
  <c r="D56" i="15"/>
  <c r="M57" i="15"/>
  <c r="K57" i="15"/>
  <c r="K94" i="15" s="1"/>
  <c r="K131" i="15" s="1"/>
  <c r="H57" i="15"/>
  <c r="N57" i="15" s="1"/>
  <c r="L55" i="15"/>
  <c r="M55" i="15" s="1"/>
  <c r="G55" i="15"/>
  <c r="H55" i="15" s="1"/>
  <c r="N55" i="15" s="1"/>
  <c r="D55" i="15"/>
  <c r="L54" i="15"/>
  <c r="M54" i="15" s="1"/>
  <c r="G54" i="15"/>
  <c r="H54" i="15" s="1"/>
  <c r="N54" i="15" s="1"/>
  <c r="D54" i="15"/>
  <c r="L53" i="15"/>
  <c r="M53" i="15" s="1"/>
  <c r="K53" i="15"/>
  <c r="K90" i="15" s="1"/>
  <c r="K127" i="15" s="1"/>
  <c r="G53" i="15"/>
  <c r="H53" i="15" s="1"/>
  <c r="N53" i="15" s="1"/>
  <c r="L52" i="15"/>
  <c r="M52" i="15" s="1"/>
  <c r="K52" i="15"/>
  <c r="K89" i="15" s="1"/>
  <c r="K126" i="15" s="1"/>
  <c r="G52" i="15"/>
  <c r="H52" i="15" s="1"/>
  <c r="N52" i="15" s="1"/>
  <c r="M51" i="15"/>
  <c r="K51" i="15"/>
  <c r="K88" i="15" s="1"/>
  <c r="K125" i="15" s="1"/>
  <c r="H51" i="15"/>
  <c r="N51" i="15" s="1"/>
  <c r="L50" i="15"/>
  <c r="M50" i="15" s="1"/>
  <c r="G50" i="15"/>
  <c r="H50" i="15" s="1"/>
  <c r="N50" i="15" s="1"/>
  <c r="D50" i="15"/>
  <c r="L49" i="15"/>
  <c r="M49" i="15" s="1"/>
  <c r="K49" i="15"/>
  <c r="K86" i="15" s="1"/>
  <c r="K123" i="15" s="1"/>
  <c r="G49" i="15"/>
  <c r="H49" i="15" s="1"/>
  <c r="N49" i="15" s="1"/>
  <c r="L48" i="15"/>
  <c r="M48" i="15" s="1"/>
  <c r="K48" i="15"/>
  <c r="K85" i="15" s="1"/>
  <c r="K122" i="15" s="1"/>
  <c r="G48" i="15"/>
  <c r="H48" i="15" s="1"/>
  <c r="N48" i="15" s="1"/>
  <c r="L47" i="15"/>
  <c r="M47" i="15" s="1"/>
  <c r="K47" i="15"/>
  <c r="K84" i="15" s="1"/>
  <c r="K121" i="15" s="1"/>
  <c r="G47" i="15"/>
  <c r="H47" i="15" s="1"/>
  <c r="N47" i="15" s="1"/>
  <c r="L46" i="15"/>
  <c r="M46" i="15" s="1"/>
  <c r="K46" i="15"/>
  <c r="K83" i="15" s="1"/>
  <c r="K120" i="15" s="1"/>
  <c r="G46" i="15"/>
  <c r="H46" i="15" s="1"/>
  <c r="N46" i="15" s="1"/>
  <c r="M45" i="15"/>
  <c r="H45" i="15"/>
  <c r="N45" i="15" s="1"/>
  <c r="L44" i="15"/>
  <c r="M44" i="15" s="1"/>
  <c r="K44" i="15"/>
  <c r="K81" i="15" s="1"/>
  <c r="K118" i="15" s="1"/>
  <c r="G44" i="15"/>
  <c r="H44" i="15" s="1"/>
  <c r="N44" i="15" s="1"/>
  <c r="L43" i="15"/>
  <c r="M43" i="15" s="1"/>
  <c r="K43" i="15"/>
  <c r="K80" i="15" s="1"/>
  <c r="K117" i="15" s="1"/>
  <c r="G43" i="15"/>
  <c r="H43" i="15" s="1"/>
  <c r="N43" i="15" s="1"/>
  <c r="M40" i="15"/>
  <c r="H40" i="15"/>
  <c r="N40" i="15" s="1"/>
  <c r="L42" i="15"/>
  <c r="M42" i="15" s="1"/>
  <c r="K42" i="15"/>
  <c r="K78" i="15" s="1"/>
  <c r="K116" i="15" s="1"/>
  <c r="G42" i="15"/>
  <c r="H42" i="15" s="1"/>
  <c r="N42" i="15" s="1"/>
  <c r="L41" i="15"/>
  <c r="M41" i="15" s="1"/>
  <c r="K41" i="15"/>
  <c r="K77" i="15" s="1"/>
  <c r="K115" i="15" s="1"/>
  <c r="G41" i="15"/>
  <c r="H41" i="15" s="1"/>
  <c r="N41" i="15" s="1"/>
  <c r="M39" i="15"/>
  <c r="H39" i="15"/>
  <c r="N39" i="15" s="1"/>
  <c r="L38" i="15"/>
  <c r="M38" i="15" s="1"/>
  <c r="K38" i="15"/>
  <c r="K75" i="15" s="1"/>
  <c r="K112" i="15" s="1"/>
  <c r="G38" i="15"/>
  <c r="H38" i="15" s="1"/>
  <c r="N38" i="15" s="1"/>
  <c r="L37" i="15"/>
  <c r="M37" i="15" s="1"/>
  <c r="K37" i="15"/>
  <c r="K74" i="15" s="1"/>
  <c r="K111" i="15" s="1"/>
  <c r="G37" i="15"/>
  <c r="H37" i="15" s="1"/>
  <c r="N37" i="15" s="1"/>
  <c r="M36" i="15"/>
  <c r="K36" i="15"/>
  <c r="K73" i="15" s="1"/>
  <c r="K110" i="15" s="1"/>
  <c r="H36" i="15"/>
  <c r="N36" i="15" s="1"/>
  <c r="M35" i="15"/>
  <c r="K35" i="15"/>
  <c r="K72" i="15" s="1"/>
  <c r="K109" i="15" s="1"/>
  <c r="H35" i="15"/>
  <c r="N35" i="15" s="1"/>
  <c r="M34" i="15"/>
  <c r="K34" i="15"/>
  <c r="K71" i="15" s="1"/>
  <c r="K108" i="15" s="1"/>
  <c r="H34" i="15"/>
  <c r="N34" i="15" s="1"/>
  <c r="M33" i="15"/>
  <c r="K33" i="15"/>
  <c r="K70" i="15" s="1"/>
  <c r="K107" i="15" s="1"/>
  <c r="H33" i="15"/>
  <c r="N33" i="15" s="1"/>
  <c r="M32" i="15"/>
  <c r="K32" i="15"/>
  <c r="K69" i="15" s="1"/>
  <c r="K106" i="15" s="1"/>
  <c r="H32" i="15"/>
  <c r="N32" i="15" s="1"/>
  <c r="M31" i="15"/>
  <c r="K31" i="15"/>
  <c r="K68" i="15" s="1"/>
  <c r="K105" i="15" s="1"/>
  <c r="H31" i="15"/>
  <c r="N31" i="15" s="1"/>
  <c r="M30" i="15"/>
  <c r="K30" i="15"/>
  <c r="K67" i="15" s="1"/>
  <c r="K104" i="15" s="1"/>
  <c r="H30" i="15"/>
  <c r="N30" i="15" s="1"/>
  <c r="M29" i="15"/>
  <c r="K29" i="15"/>
  <c r="K66" i="15" s="1"/>
  <c r="K103" i="15" s="1"/>
  <c r="H29" i="15"/>
  <c r="N29" i="15" s="1"/>
  <c r="M28" i="15"/>
  <c r="K28" i="15"/>
  <c r="K65" i="15" s="1"/>
  <c r="K102" i="15" s="1"/>
  <c r="H28" i="15"/>
  <c r="N28" i="15" s="1"/>
  <c r="M27" i="15"/>
  <c r="K27" i="15"/>
  <c r="K64" i="15" s="1"/>
  <c r="K101" i="15" s="1"/>
  <c r="H27" i="15"/>
  <c r="N27" i="15" s="1"/>
  <c r="B1" i="15"/>
  <c r="G137" i="15" l="1"/>
  <c r="H137" i="15" s="1"/>
  <c r="N137" i="15" s="1"/>
  <c r="C25" i="8"/>
  <c r="C32" i="10" l="1"/>
  <c r="B1" i="5"/>
  <c r="H27" i="12"/>
  <c r="H28" i="12"/>
  <c r="H29" i="12"/>
  <c r="H30" i="12"/>
  <c r="H31" i="12"/>
  <c r="H32" i="12"/>
  <c r="B1" i="12" l="1"/>
  <c r="N27" i="12" l="1"/>
  <c r="N28" i="12"/>
  <c r="N29" i="12"/>
  <c r="N30" i="12"/>
  <c r="N31" i="12"/>
  <c r="N32" i="12"/>
  <c r="M28" i="12"/>
  <c r="M29" i="12"/>
  <c r="M31" i="12"/>
  <c r="M35" i="12"/>
  <c r="M34" i="12"/>
  <c r="M47" i="12"/>
  <c r="H35" i="12"/>
  <c r="N35" i="12" s="1"/>
  <c r="R37" i="12"/>
  <c r="H54" i="12" l="1"/>
  <c r="N54" i="12" s="1"/>
  <c r="H53" i="12"/>
  <c r="N53" i="12" s="1"/>
  <c r="H52" i="12"/>
  <c r="N52" i="12" s="1"/>
  <c r="H51" i="12"/>
  <c r="N51" i="12" s="1"/>
  <c r="H50" i="12"/>
  <c r="N50" i="12" s="1"/>
  <c r="H49" i="12"/>
  <c r="N49" i="12" s="1"/>
  <c r="H48" i="12"/>
  <c r="N48" i="12" s="1"/>
  <c r="H47" i="12"/>
  <c r="N47" i="12" s="1"/>
  <c r="H46" i="12"/>
  <c r="N46" i="12" s="1"/>
  <c r="H45" i="12"/>
  <c r="N45" i="12" s="1"/>
  <c r="H44" i="12" l="1"/>
  <c r="N44" i="12" s="1"/>
  <c r="H43" i="12"/>
  <c r="N43" i="12" s="1"/>
  <c r="H42" i="12"/>
  <c r="N42" i="12" s="1"/>
  <c r="H41" i="12"/>
  <c r="N41" i="12" s="1"/>
  <c r="H40" i="12"/>
  <c r="N40" i="12" s="1"/>
  <c r="H39" i="12"/>
  <c r="N39" i="12" s="1"/>
  <c r="H38" i="12"/>
  <c r="N38" i="12" s="1"/>
  <c r="H37" i="12"/>
  <c r="N37" i="12" s="1"/>
  <c r="H33" i="12" l="1"/>
  <c r="N33" i="12" s="1"/>
  <c r="H36" i="12"/>
  <c r="N36" i="12" s="1"/>
  <c r="H34" i="12"/>
  <c r="N34" i="12" s="1"/>
  <c r="A40" i="10" l="1"/>
  <c r="C36" i="10"/>
  <c r="A36" i="10"/>
  <c r="D41" i="10" l="1"/>
  <c r="AF40" i="10" s="1"/>
  <c r="D37" i="10"/>
  <c r="AF36" i="10" s="1"/>
  <c r="D32" i="10"/>
  <c r="A32" i="10"/>
  <c r="A28" i="10"/>
  <c r="C28" i="10"/>
  <c r="C24" i="10"/>
  <c r="D24" i="10" s="1"/>
  <c r="AE24" i="10" s="1"/>
  <c r="C20" i="10"/>
  <c r="D20" i="10" s="1"/>
  <c r="AE20" i="10" s="1"/>
  <c r="A24" i="10"/>
  <c r="C16" i="10"/>
  <c r="D16" i="10" s="1"/>
  <c r="AE16" i="10" s="1"/>
  <c r="A20" i="10"/>
  <c r="A16" i="10"/>
  <c r="D17" i="10" s="1"/>
  <c r="C18" i="7"/>
  <c r="E118" i="11" s="1"/>
  <c r="E41" i="8"/>
  <c r="E3" i="11" l="1"/>
  <c r="E14" i="11"/>
  <c r="E24" i="11"/>
  <c r="E35" i="11"/>
  <c r="E46" i="11"/>
  <c r="E56" i="11"/>
  <c r="E67" i="11"/>
  <c r="E78" i="11"/>
  <c r="E88" i="11"/>
  <c r="E99" i="11"/>
  <c r="E110" i="11"/>
  <c r="E120" i="11"/>
  <c r="E7" i="11"/>
  <c r="E18" i="11"/>
  <c r="E28" i="11"/>
  <c r="E39" i="11"/>
  <c r="E50" i="11"/>
  <c r="E60" i="11"/>
  <c r="E71" i="11"/>
  <c r="E82" i="11"/>
  <c r="E92" i="11"/>
  <c r="E103" i="11"/>
  <c r="E114" i="11"/>
  <c r="E8" i="11"/>
  <c r="E19" i="11"/>
  <c r="E30" i="11"/>
  <c r="E40" i="11"/>
  <c r="E51" i="11"/>
  <c r="E62" i="11"/>
  <c r="E72" i="11"/>
  <c r="E83" i="11"/>
  <c r="E94" i="11"/>
  <c r="E104" i="11"/>
  <c r="E115" i="11"/>
  <c r="E2" i="11"/>
  <c r="E12" i="11"/>
  <c r="E23" i="11"/>
  <c r="E34" i="11"/>
  <c r="E44" i="11"/>
  <c r="E55" i="11"/>
  <c r="E66" i="11"/>
  <c r="E76" i="11"/>
  <c r="E87" i="11"/>
  <c r="E98" i="11"/>
  <c r="E108" i="11"/>
  <c r="E119" i="11"/>
  <c r="E4" i="11"/>
  <c r="E10" i="11"/>
  <c r="E15" i="11"/>
  <c r="E20" i="11"/>
  <c r="E26" i="11"/>
  <c r="E31" i="11"/>
  <c r="E36" i="11"/>
  <c r="E42" i="11"/>
  <c r="E47" i="11"/>
  <c r="E52" i="11"/>
  <c r="E58" i="11"/>
  <c r="E63" i="11"/>
  <c r="E68" i="11"/>
  <c r="E74" i="11"/>
  <c r="E79" i="11"/>
  <c r="E84" i="11"/>
  <c r="E90" i="11"/>
  <c r="E95" i="11"/>
  <c r="E100" i="11"/>
  <c r="E106" i="11"/>
  <c r="E111" i="11"/>
  <c r="E116" i="11"/>
  <c r="E122" i="11"/>
  <c r="E6" i="11"/>
  <c r="E11" i="11"/>
  <c r="E16" i="11"/>
  <c r="E22" i="11"/>
  <c r="E27" i="11"/>
  <c r="E32" i="11"/>
  <c r="E38" i="11"/>
  <c r="E43" i="11"/>
  <c r="E48" i="11"/>
  <c r="E54" i="11"/>
  <c r="E59" i="11"/>
  <c r="E64" i="11"/>
  <c r="E70" i="11"/>
  <c r="E75" i="11"/>
  <c r="E80" i="11"/>
  <c r="E86" i="11"/>
  <c r="E91" i="11"/>
  <c r="E96" i="11"/>
  <c r="E102" i="11"/>
  <c r="E107" i="11"/>
  <c r="E112" i="11"/>
  <c r="D25" i="10"/>
  <c r="AF24" i="10" s="1"/>
  <c r="D28" i="10"/>
  <c r="AE28" i="10" s="1"/>
  <c r="D33" i="10"/>
  <c r="AF32" i="10" s="1"/>
  <c r="D29" i="10"/>
  <c r="AF28" i="10" s="1"/>
  <c r="E5" i="11"/>
  <c r="E9" i="11"/>
  <c r="E13" i="11"/>
  <c r="E17" i="11"/>
  <c r="E21" i="11"/>
  <c r="E25" i="11"/>
  <c r="E29" i="11"/>
  <c r="E33" i="11"/>
  <c r="E37" i="11"/>
  <c r="E41" i="11"/>
  <c r="E45" i="11"/>
  <c r="E49" i="11"/>
  <c r="E53" i="11"/>
  <c r="E57" i="11"/>
  <c r="E61" i="11"/>
  <c r="E65" i="11"/>
  <c r="E69" i="11"/>
  <c r="E73" i="11"/>
  <c r="E77" i="11"/>
  <c r="E81" i="11"/>
  <c r="E85" i="11"/>
  <c r="E89" i="11"/>
  <c r="E93" i="11"/>
  <c r="E97" i="11"/>
  <c r="E101" i="11"/>
  <c r="E105" i="11"/>
  <c r="E109" i="11"/>
  <c r="E113" i="11"/>
  <c r="E117" i="11"/>
  <c r="E121" i="11"/>
  <c r="D21" i="10"/>
  <c r="AF20" i="10" s="1"/>
  <c r="AF16" i="10"/>
  <c r="A12" i="10"/>
  <c r="B12" i="10"/>
  <c r="C12" i="10"/>
  <c r="D12" i="10" s="1"/>
  <c r="D13" i="10" l="1"/>
  <c r="AE12" i="10"/>
  <c r="Z8" i="10"/>
  <c r="AB8" i="10" s="1"/>
  <c r="Z7" i="10"/>
  <c r="AB7" i="10" s="1"/>
  <c r="Z6" i="10"/>
  <c r="AB6" i="10" s="1"/>
  <c r="Z5" i="10"/>
  <c r="AB5" i="10" s="1"/>
  <c r="Z4" i="10"/>
  <c r="AB4" i="10" s="1"/>
  <c r="Z3" i="10"/>
  <c r="AB3" i="10" s="1"/>
  <c r="Z2" i="10"/>
  <c r="AB2" i="10" s="1"/>
  <c r="U8" i="10"/>
  <c r="W8" i="10" s="1"/>
  <c r="U7" i="10"/>
  <c r="W7" i="10" s="1"/>
  <c r="U6" i="10"/>
  <c r="W6" i="10" s="1"/>
  <c r="U5" i="10"/>
  <c r="W5" i="10" s="1"/>
  <c r="U4" i="10"/>
  <c r="W4" i="10" s="1"/>
  <c r="U3" i="10"/>
  <c r="W3" i="10" s="1"/>
  <c r="P8" i="10"/>
  <c r="R8" i="10" s="1"/>
  <c r="P7" i="10"/>
  <c r="R7" i="10" s="1"/>
  <c r="P6" i="10"/>
  <c r="R6" i="10" s="1"/>
  <c r="P5" i="10"/>
  <c r="R5" i="10" s="1"/>
  <c r="P4" i="10"/>
  <c r="R4" i="10" s="1"/>
  <c r="P3" i="10"/>
  <c r="R3" i="10" s="1"/>
  <c r="AF12" i="10" l="1"/>
  <c r="AC8" i="10"/>
  <c r="AC7" i="10"/>
  <c r="AC6" i="10"/>
  <c r="AC5" i="10"/>
  <c r="AC4" i="10"/>
  <c r="AC3" i="10"/>
  <c r="AC2" i="10"/>
  <c r="X8" i="10"/>
  <c r="X7" i="10"/>
  <c r="X6" i="10"/>
  <c r="X5" i="10"/>
  <c r="X4" i="10"/>
  <c r="X3" i="10"/>
  <c r="X2" i="10"/>
  <c r="S8" i="10"/>
  <c r="S7" i="10"/>
  <c r="S6" i="10"/>
  <c r="S5" i="10"/>
  <c r="S4" i="10"/>
  <c r="S3" i="10"/>
  <c r="S2" i="10"/>
  <c r="K8" i="10"/>
  <c r="M8" i="10" s="1"/>
  <c r="K7" i="10"/>
  <c r="M7" i="10" s="1"/>
  <c r="K6" i="10"/>
  <c r="M6" i="10" s="1"/>
  <c r="M5" i="10"/>
  <c r="K4" i="10"/>
  <c r="M4" i="10" s="1"/>
  <c r="K3" i="10"/>
  <c r="F8" i="10"/>
  <c r="F7" i="10"/>
  <c r="F6" i="10"/>
  <c r="F5" i="10"/>
  <c r="F4" i="10"/>
  <c r="F3" i="10"/>
  <c r="A8" i="10"/>
  <c r="A7" i="10"/>
  <c r="A6" i="10"/>
  <c r="A4" i="10"/>
  <c r="A3" i="10"/>
  <c r="C2" i="10"/>
  <c r="D34" i="7"/>
  <c r="D35" i="7"/>
  <c r="D36" i="7"/>
  <c r="E36" i="7" s="1"/>
  <c r="D37" i="7"/>
  <c r="E37" i="7" s="1"/>
  <c r="D38" i="7"/>
  <c r="E38" i="7" s="1"/>
  <c r="D33" i="7"/>
  <c r="F34" i="7"/>
  <c r="F35" i="7"/>
  <c r="F36" i="7"/>
  <c r="F37" i="7"/>
  <c r="F38" i="7"/>
  <c r="F33" i="7"/>
  <c r="C34" i="7"/>
  <c r="C35" i="7"/>
  <c r="C36" i="7"/>
  <c r="C37" i="7"/>
  <c r="C38" i="7"/>
  <c r="C33" i="7"/>
  <c r="C5" i="10" l="1"/>
  <c r="D5" i="10" s="1"/>
  <c r="C6" i="10"/>
  <c r="D6" i="10" s="1"/>
  <c r="C3" i="10"/>
  <c r="D3" i="10" s="1"/>
  <c r="C7" i="10"/>
  <c r="D7" i="10" s="1"/>
  <c r="C4" i="10"/>
  <c r="D4" i="10" s="1"/>
  <c r="C8" i="10"/>
  <c r="D8" i="10" s="1"/>
  <c r="M3" i="10"/>
  <c r="N3" i="10" s="1"/>
  <c r="M2" i="10"/>
  <c r="N2" i="10" s="1"/>
  <c r="H3" i="10"/>
  <c r="I3" i="10" s="1"/>
  <c r="H2" i="10"/>
  <c r="I2" i="10" s="1"/>
  <c r="H6" i="10"/>
  <c r="I6" i="10" s="1"/>
  <c r="H7" i="10"/>
  <c r="I7" i="10" s="1"/>
  <c r="H4" i="10"/>
  <c r="I4" i="10" s="1"/>
  <c r="H8" i="10"/>
  <c r="I8" i="10" s="1"/>
  <c r="H5" i="10"/>
  <c r="I5" i="10" s="1"/>
  <c r="D2" i="10"/>
  <c r="E33" i="7"/>
  <c r="G33" i="7" s="1"/>
  <c r="G36" i="7"/>
  <c r="G38" i="7"/>
  <c r="G37" i="7"/>
  <c r="E35" i="7"/>
  <c r="G35" i="7" s="1"/>
  <c r="E34" i="7"/>
  <c r="G34" i="7" s="1"/>
  <c r="N6" i="10"/>
  <c r="AC9" i="10"/>
  <c r="X9" i="10"/>
  <c r="S9" i="10"/>
  <c r="N5" i="10"/>
  <c r="N7" i="10"/>
  <c r="N4" i="10"/>
  <c r="N8" i="10"/>
  <c r="L61" i="5"/>
  <c r="M61" i="5" s="1"/>
  <c r="G61" i="5"/>
  <c r="H61" i="5" s="1"/>
  <c r="N61" i="5" s="1"/>
  <c r="D61" i="5"/>
  <c r="L98" i="5"/>
  <c r="M98" i="5" s="1"/>
  <c r="G98" i="5"/>
  <c r="H98" i="5" s="1"/>
  <c r="N98" i="5" s="1"/>
  <c r="D98" i="5"/>
  <c r="G136" i="5"/>
  <c r="H136" i="5" s="1"/>
  <c r="N136" i="5" s="1"/>
  <c r="G135" i="5"/>
  <c r="H135" i="5" s="1"/>
  <c r="N135" i="5" s="1"/>
  <c r="G133" i="5"/>
  <c r="G137" i="5" s="1"/>
  <c r="H137" i="5" s="1"/>
  <c r="N137" i="5" s="1"/>
  <c r="D137" i="5"/>
  <c r="D136" i="5"/>
  <c r="D135" i="5"/>
  <c r="D133" i="5"/>
  <c r="G130" i="5"/>
  <c r="H130" i="5" s="1"/>
  <c r="N130" i="5" s="1"/>
  <c r="D130" i="5"/>
  <c r="M135" i="5"/>
  <c r="L137" i="5"/>
  <c r="M137" i="5" s="1"/>
  <c r="L136" i="5"/>
  <c r="M136" i="5" s="1"/>
  <c r="L133" i="5"/>
  <c r="M133" i="5" s="1"/>
  <c r="L130" i="5"/>
  <c r="L129" i="5"/>
  <c r="G129" i="5"/>
  <c r="H129" i="5" s="1"/>
  <c r="N129" i="5" s="1"/>
  <c r="D129" i="5"/>
  <c r="L128" i="5"/>
  <c r="M128" i="5" s="1"/>
  <c r="G128" i="5"/>
  <c r="D128" i="5"/>
  <c r="L124" i="5"/>
  <c r="M124" i="5" s="1"/>
  <c r="G124" i="5"/>
  <c r="D124" i="5"/>
  <c r="G100" i="5"/>
  <c r="G99" i="5"/>
  <c r="H99" i="5" s="1"/>
  <c r="N99" i="5" s="1"/>
  <c r="D100" i="5"/>
  <c r="D99" i="5"/>
  <c r="G96" i="5"/>
  <c r="H96" i="5" s="1"/>
  <c r="N96" i="5" s="1"/>
  <c r="D96" i="5"/>
  <c r="L93" i="5"/>
  <c r="M93" i="5" s="1"/>
  <c r="G93" i="5"/>
  <c r="H93" i="5" s="1"/>
  <c r="N93" i="5" s="1"/>
  <c r="D93" i="5"/>
  <c r="G92" i="5"/>
  <c r="H92" i="5" s="1"/>
  <c r="N92" i="5" s="1"/>
  <c r="D92" i="5"/>
  <c r="L91" i="5"/>
  <c r="M91" i="5" s="1"/>
  <c r="G91" i="5"/>
  <c r="H91" i="5" s="1"/>
  <c r="N91" i="5" s="1"/>
  <c r="D91" i="5"/>
  <c r="L87" i="5"/>
  <c r="M87" i="5" s="1"/>
  <c r="G87" i="5"/>
  <c r="H87" i="5" s="1"/>
  <c r="N87" i="5" s="1"/>
  <c r="D87" i="5"/>
  <c r="D63" i="5"/>
  <c r="D62" i="5"/>
  <c r="D59" i="5"/>
  <c r="D57" i="5"/>
  <c r="D54" i="5"/>
  <c r="G59" i="5"/>
  <c r="H59" i="5" s="1"/>
  <c r="N59" i="5" s="1"/>
  <c r="G63" i="5"/>
  <c r="H63" i="5" s="1"/>
  <c r="N63" i="5" s="1"/>
  <c r="G62" i="5"/>
  <c r="H62" i="5" s="1"/>
  <c r="N62" i="5" s="1"/>
  <c r="H60" i="5"/>
  <c r="N60" i="5" s="1"/>
  <c r="H58" i="5"/>
  <c r="N58" i="5" s="1"/>
  <c r="G57" i="5"/>
  <c r="G55" i="5"/>
  <c r="G54" i="5"/>
  <c r="G50" i="5"/>
  <c r="H50" i="5" s="1"/>
  <c r="N50" i="5" s="1"/>
  <c r="M134" i="5"/>
  <c r="H134" i="5"/>
  <c r="N134" i="5" s="1"/>
  <c r="H133" i="5"/>
  <c r="N133" i="5" s="1"/>
  <c r="M132" i="5"/>
  <c r="H132" i="5"/>
  <c r="N132" i="5" s="1"/>
  <c r="M130" i="5"/>
  <c r="M131" i="5"/>
  <c r="H131" i="5"/>
  <c r="N131" i="5" s="1"/>
  <c r="M129" i="5"/>
  <c r="H128" i="5"/>
  <c r="N128" i="5" s="1"/>
  <c r="L127" i="5"/>
  <c r="M127" i="5" s="1"/>
  <c r="G127" i="5"/>
  <c r="H127" i="5" s="1"/>
  <c r="N127" i="5" s="1"/>
  <c r="L126" i="5"/>
  <c r="M126" i="5" s="1"/>
  <c r="G126" i="5"/>
  <c r="H126" i="5" s="1"/>
  <c r="N126" i="5" s="1"/>
  <c r="M125" i="5"/>
  <c r="H125" i="5"/>
  <c r="N125" i="5" s="1"/>
  <c r="H124" i="5"/>
  <c r="N124" i="5" s="1"/>
  <c r="L123" i="5"/>
  <c r="M123" i="5" s="1"/>
  <c r="G123" i="5"/>
  <c r="H123" i="5" s="1"/>
  <c r="N123" i="5" s="1"/>
  <c r="L122" i="5"/>
  <c r="M122" i="5" s="1"/>
  <c r="G122" i="5"/>
  <c r="H122" i="5" s="1"/>
  <c r="N122" i="5" s="1"/>
  <c r="L121" i="5"/>
  <c r="M121" i="5" s="1"/>
  <c r="G121" i="5"/>
  <c r="H121" i="5" s="1"/>
  <c r="N121" i="5" s="1"/>
  <c r="L120" i="5"/>
  <c r="M120" i="5" s="1"/>
  <c r="G120" i="5"/>
  <c r="H120" i="5" s="1"/>
  <c r="N120" i="5" s="1"/>
  <c r="M119" i="5"/>
  <c r="H119" i="5"/>
  <c r="N119" i="5" s="1"/>
  <c r="L118" i="5"/>
  <c r="M118" i="5" s="1"/>
  <c r="G118" i="5"/>
  <c r="H118" i="5" s="1"/>
  <c r="N118" i="5" s="1"/>
  <c r="L117" i="5"/>
  <c r="M117" i="5" s="1"/>
  <c r="G117" i="5"/>
  <c r="H117" i="5" s="1"/>
  <c r="N117" i="5" s="1"/>
  <c r="M114" i="5"/>
  <c r="H114" i="5"/>
  <c r="N114" i="5" s="1"/>
  <c r="L116" i="5"/>
  <c r="M116" i="5" s="1"/>
  <c r="G116" i="5"/>
  <c r="H116" i="5" s="1"/>
  <c r="N116" i="5" s="1"/>
  <c r="L115" i="5"/>
  <c r="M115" i="5" s="1"/>
  <c r="G115" i="5"/>
  <c r="H115" i="5" s="1"/>
  <c r="N115" i="5" s="1"/>
  <c r="M113" i="5"/>
  <c r="H113" i="5"/>
  <c r="N113" i="5" s="1"/>
  <c r="L112" i="5"/>
  <c r="M112" i="5" s="1"/>
  <c r="G112" i="5"/>
  <c r="H112" i="5" s="1"/>
  <c r="N112" i="5" s="1"/>
  <c r="L111" i="5"/>
  <c r="M111" i="5" s="1"/>
  <c r="H111" i="5"/>
  <c r="N111" i="5" s="1"/>
  <c r="M110" i="5"/>
  <c r="H110" i="5"/>
  <c r="N110" i="5" s="1"/>
  <c r="M109" i="5"/>
  <c r="H109" i="5"/>
  <c r="N109" i="5" s="1"/>
  <c r="M108" i="5"/>
  <c r="H108" i="5"/>
  <c r="N108" i="5" s="1"/>
  <c r="M107" i="5"/>
  <c r="H107" i="5"/>
  <c r="N107" i="5" s="1"/>
  <c r="M106" i="5"/>
  <c r="H106" i="5"/>
  <c r="N106" i="5" s="1"/>
  <c r="M105" i="5"/>
  <c r="H105" i="5"/>
  <c r="N105" i="5" s="1"/>
  <c r="M104" i="5"/>
  <c r="H104" i="5"/>
  <c r="N104" i="5" s="1"/>
  <c r="M103" i="5"/>
  <c r="H103" i="5"/>
  <c r="N103" i="5" s="1"/>
  <c r="M102" i="5"/>
  <c r="H102" i="5"/>
  <c r="N102" i="5" s="1"/>
  <c r="M101" i="5"/>
  <c r="H101" i="5"/>
  <c r="N101" i="5" s="1"/>
  <c r="M88" i="5"/>
  <c r="M92" i="5"/>
  <c r="M94" i="5"/>
  <c r="M95" i="5"/>
  <c r="M96" i="5"/>
  <c r="M97" i="5"/>
  <c r="M99" i="5"/>
  <c r="M100" i="5"/>
  <c r="H88" i="5"/>
  <c r="N88" i="5" s="1"/>
  <c r="H94" i="5"/>
  <c r="N94" i="5" s="1"/>
  <c r="H95" i="5"/>
  <c r="N95" i="5" s="1"/>
  <c r="H97" i="5"/>
  <c r="N97" i="5" s="1"/>
  <c r="H100" i="5"/>
  <c r="N100" i="5" s="1"/>
  <c r="K97" i="5"/>
  <c r="K134" i="5" s="1"/>
  <c r="K76" i="5"/>
  <c r="K113" i="5" s="1"/>
  <c r="K77" i="5"/>
  <c r="K114" i="5" s="1"/>
  <c r="K82" i="5"/>
  <c r="K119" i="5" s="1"/>
  <c r="K87" i="5"/>
  <c r="K124" i="5" s="1"/>
  <c r="K91" i="5"/>
  <c r="K128" i="5" s="1"/>
  <c r="K92" i="5"/>
  <c r="K129" i="5" s="1"/>
  <c r="K93" i="5"/>
  <c r="K130" i="5" s="1"/>
  <c r="K96" i="5"/>
  <c r="K133" i="5" s="1"/>
  <c r="K99" i="5"/>
  <c r="K136" i="5" s="1"/>
  <c r="K100" i="5"/>
  <c r="K137" i="5" s="1"/>
  <c r="M62" i="5"/>
  <c r="M63" i="5"/>
  <c r="M58" i="5"/>
  <c r="K95" i="5"/>
  <c r="K132" i="5" s="1"/>
  <c r="M59" i="5"/>
  <c r="M60" i="5"/>
  <c r="H56" i="5"/>
  <c r="N56" i="5" s="1"/>
  <c r="M56" i="5"/>
  <c r="K94" i="5"/>
  <c r="K131" i="5" s="1"/>
  <c r="M51" i="5"/>
  <c r="K88" i="5"/>
  <c r="K125" i="5" s="1"/>
  <c r="H51" i="5"/>
  <c r="N51" i="5" s="1"/>
  <c r="L90" i="5"/>
  <c r="M90" i="5"/>
  <c r="L89" i="5"/>
  <c r="M89" i="5" s="1"/>
  <c r="L86" i="5"/>
  <c r="L85" i="5"/>
  <c r="M85" i="5" s="1"/>
  <c r="L84" i="5"/>
  <c r="M84" i="5" s="1"/>
  <c r="L83" i="5"/>
  <c r="L81" i="5"/>
  <c r="M81" i="5" s="1"/>
  <c r="L80" i="5"/>
  <c r="M80" i="5" s="1"/>
  <c r="L79" i="5"/>
  <c r="M79" i="5" s="1"/>
  <c r="L78" i="5"/>
  <c r="L75" i="5"/>
  <c r="M75" i="5" s="1"/>
  <c r="L74" i="5"/>
  <c r="M74" i="5" s="1"/>
  <c r="K43" i="5"/>
  <c r="K80" i="5" s="1"/>
  <c r="K117" i="5" s="1"/>
  <c r="K44" i="5"/>
  <c r="K81" i="5" s="1"/>
  <c r="K118" i="5" s="1"/>
  <c r="K85" i="5"/>
  <c r="K122" i="5" s="1"/>
  <c r="K86" i="5"/>
  <c r="K123" i="5" s="1"/>
  <c r="K90" i="5"/>
  <c r="K127" i="5" s="1"/>
  <c r="K89" i="5"/>
  <c r="K126" i="5" s="1"/>
  <c r="K84" i="5"/>
  <c r="K121" i="5" s="1"/>
  <c r="K46" i="5"/>
  <c r="K83" i="5" s="1"/>
  <c r="K120" i="5" s="1"/>
  <c r="K41" i="5"/>
  <c r="K79" i="5" s="1"/>
  <c r="K116" i="5" s="1"/>
  <c r="K40" i="5"/>
  <c r="K78" i="5" s="1"/>
  <c r="K115" i="5" s="1"/>
  <c r="K37" i="5"/>
  <c r="K74" i="5" s="1"/>
  <c r="K111" i="5" s="1"/>
  <c r="K38" i="5"/>
  <c r="K75" i="5" s="1"/>
  <c r="K112" i="5" s="1"/>
  <c r="K102" i="5"/>
  <c r="K29" i="5"/>
  <c r="K103" i="5" s="1"/>
  <c r="K30" i="5"/>
  <c r="K104" i="5" s="1"/>
  <c r="K31" i="5"/>
  <c r="K105" i="5" s="1"/>
  <c r="K32" i="5"/>
  <c r="K106" i="5" s="1"/>
  <c r="K33" i="5"/>
  <c r="K107" i="5" s="1"/>
  <c r="K34" i="5"/>
  <c r="K108" i="5" s="1"/>
  <c r="K35" i="5"/>
  <c r="K109" i="5" s="1"/>
  <c r="K36" i="5"/>
  <c r="K101" i="5"/>
  <c r="H29" i="5"/>
  <c r="N29" i="5" s="1"/>
  <c r="H30" i="5"/>
  <c r="N30" i="5" s="1"/>
  <c r="H31" i="5"/>
  <c r="N31" i="5" s="1"/>
  <c r="H32" i="5"/>
  <c r="N32" i="5" s="1"/>
  <c r="H33" i="5"/>
  <c r="N33" i="5" s="1"/>
  <c r="H34" i="5"/>
  <c r="N34" i="5" s="1"/>
  <c r="H35" i="5"/>
  <c r="N35" i="5" s="1"/>
  <c r="H36" i="5"/>
  <c r="N36" i="5" s="1"/>
  <c r="H39" i="5"/>
  <c r="N39" i="5" s="1"/>
  <c r="H42" i="5"/>
  <c r="N42" i="5" s="1"/>
  <c r="H45" i="5"/>
  <c r="N45" i="5" s="1"/>
  <c r="G90" i="5"/>
  <c r="H90" i="5" s="1"/>
  <c r="N90" i="5" s="1"/>
  <c r="G89" i="5"/>
  <c r="H89" i="5" s="1"/>
  <c r="N89" i="5" s="1"/>
  <c r="G86" i="5"/>
  <c r="H86" i="5" s="1"/>
  <c r="N86" i="5" s="1"/>
  <c r="G85" i="5"/>
  <c r="H85" i="5" s="1"/>
  <c r="N85" i="5" s="1"/>
  <c r="G84" i="5"/>
  <c r="H84" i="5" s="1"/>
  <c r="N84" i="5" s="1"/>
  <c r="G83" i="5"/>
  <c r="H83" i="5" s="1"/>
  <c r="N83" i="5" s="1"/>
  <c r="G81" i="5"/>
  <c r="H81" i="5" s="1"/>
  <c r="N81" i="5" s="1"/>
  <c r="G80" i="5"/>
  <c r="H80" i="5" s="1"/>
  <c r="N80" i="5" s="1"/>
  <c r="G79" i="5"/>
  <c r="G78" i="5"/>
  <c r="H78" i="5" s="1"/>
  <c r="N78" i="5" s="1"/>
  <c r="G75" i="5"/>
  <c r="H75" i="5" s="1"/>
  <c r="N75" i="5" s="1"/>
  <c r="G74" i="5"/>
  <c r="H74" i="5" s="1"/>
  <c r="N74" i="5" s="1"/>
  <c r="H57" i="5"/>
  <c r="N57" i="5" s="1"/>
  <c r="H55" i="5"/>
  <c r="N55" i="5" s="1"/>
  <c r="H54" i="5"/>
  <c r="N54" i="5" s="1"/>
  <c r="G53" i="5"/>
  <c r="H53" i="5" s="1"/>
  <c r="N53" i="5" s="1"/>
  <c r="G52" i="5"/>
  <c r="H52" i="5" s="1"/>
  <c r="N52" i="5" s="1"/>
  <c r="G49" i="5"/>
  <c r="H49" i="5" s="1"/>
  <c r="N49" i="5" s="1"/>
  <c r="G48" i="5"/>
  <c r="H48" i="5" s="1"/>
  <c r="N48" i="5" s="1"/>
  <c r="G47" i="5"/>
  <c r="H47" i="5" s="1"/>
  <c r="N47" i="5" s="1"/>
  <c r="G46" i="5"/>
  <c r="H46" i="5" s="1"/>
  <c r="N46" i="5" s="1"/>
  <c r="G44" i="5"/>
  <c r="H44" i="5" s="1"/>
  <c r="N44" i="5" s="1"/>
  <c r="G43" i="5"/>
  <c r="H43" i="5" s="1"/>
  <c r="N43" i="5" s="1"/>
  <c r="G41" i="5"/>
  <c r="H41" i="5" s="1"/>
  <c r="N41" i="5" s="1"/>
  <c r="G40" i="5"/>
  <c r="H40" i="5" s="1"/>
  <c r="N40" i="5" s="1"/>
  <c r="G38" i="5"/>
  <c r="H38" i="5" s="1"/>
  <c r="N38" i="5" s="1"/>
  <c r="G37" i="5"/>
  <c r="H37" i="5" s="1"/>
  <c r="N37" i="5" s="1"/>
  <c r="W144" i="5"/>
  <c r="W143" i="5"/>
  <c r="W142" i="5"/>
  <c r="W141" i="5"/>
  <c r="W140" i="5"/>
  <c r="W139" i="5"/>
  <c r="W138" i="5"/>
  <c r="L57" i="5"/>
  <c r="M57" i="5" s="1"/>
  <c r="L55" i="5"/>
  <c r="M55" i="5" s="1"/>
  <c r="L54" i="5"/>
  <c r="M54" i="5" s="1"/>
  <c r="L53" i="5"/>
  <c r="L52" i="5"/>
  <c r="M52" i="5" s="1"/>
  <c r="L50" i="5"/>
  <c r="M50" i="5" s="1"/>
  <c r="L49" i="5"/>
  <c r="M49" i="5" s="1"/>
  <c r="L48" i="5"/>
  <c r="L47" i="5"/>
  <c r="M47" i="5" s="1"/>
  <c r="L46" i="5"/>
  <c r="M46" i="5" s="1"/>
  <c r="L44" i="5"/>
  <c r="M44" i="5" s="1"/>
  <c r="L43" i="5"/>
  <c r="M43" i="5" s="1"/>
  <c r="L41" i="5"/>
  <c r="M41" i="5" s="1"/>
  <c r="L40" i="5"/>
  <c r="M40" i="5" s="1"/>
  <c r="L38" i="5"/>
  <c r="M38" i="5" s="1"/>
  <c r="L37" i="5"/>
  <c r="M37" i="5" s="1"/>
  <c r="M66" i="5"/>
  <c r="M67" i="5"/>
  <c r="H76" i="5"/>
  <c r="N76" i="5" s="1"/>
  <c r="M76" i="5"/>
  <c r="D50" i="5"/>
  <c r="D55" i="5"/>
  <c r="M39" i="5"/>
  <c r="M86" i="5"/>
  <c r="M83" i="5"/>
  <c r="H82" i="5"/>
  <c r="N82" i="5" s="1"/>
  <c r="M82" i="5"/>
  <c r="H77" i="5"/>
  <c r="N77" i="5" s="1"/>
  <c r="M77" i="5"/>
  <c r="H79" i="5"/>
  <c r="N79" i="5" s="1"/>
  <c r="M78" i="5"/>
  <c r="H73" i="5"/>
  <c r="N73" i="5" s="1"/>
  <c r="M73" i="5"/>
  <c r="H72" i="5"/>
  <c r="N72" i="5" s="1"/>
  <c r="M72" i="5"/>
  <c r="H71" i="5"/>
  <c r="N71" i="5" s="1"/>
  <c r="M71" i="5"/>
  <c r="H70" i="5"/>
  <c r="N70" i="5" s="1"/>
  <c r="M70" i="5"/>
  <c r="H69" i="5"/>
  <c r="N69" i="5" s="1"/>
  <c r="M69" i="5"/>
  <c r="H68" i="5"/>
  <c r="N68" i="5" s="1"/>
  <c r="M68" i="5"/>
  <c r="H67" i="5"/>
  <c r="N67" i="5" s="1"/>
  <c r="H66" i="5"/>
  <c r="N66" i="5" s="1"/>
  <c r="H65" i="5"/>
  <c r="N65" i="5" s="1"/>
  <c r="M65" i="5"/>
  <c r="H64" i="5"/>
  <c r="N64" i="5" s="1"/>
  <c r="M64" i="5"/>
  <c r="M53" i="5"/>
  <c r="M48" i="5"/>
  <c r="M45" i="5"/>
  <c r="M42" i="5"/>
  <c r="M36" i="5"/>
  <c r="M35" i="5"/>
  <c r="M34" i="5"/>
  <c r="M33" i="5"/>
  <c r="M32" i="5"/>
  <c r="M31" i="5"/>
  <c r="M30" i="5"/>
  <c r="M29" i="5"/>
  <c r="K110" i="5"/>
  <c r="D9" i="10" l="1"/>
  <c r="I9" i="10"/>
  <c r="N9" i="10"/>
  <c r="AE9" i="10" l="1"/>
  <c r="AF9" i="10" l="1"/>
  <c r="E38" i="8" s="1"/>
  <c r="E43" i="8" s="1"/>
  <c r="D36" i="8"/>
  <c r="E44" i="8" s="1"/>
  <c r="F36" i="8" l="1"/>
  <c r="E40" i="8" s="1"/>
  <c r="J62" i="5" l="1"/>
  <c r="J96" i="5"/>
  <c r="J100" i="5"/>
  <c r="J133" i="5"/>
  <c r="J137" i="5"/>
  <c r="J60" i="5"/>
  <c r="J59" i="5"/>
  <c r="J63" i="5"/>
  <c r="J97" i="5"/>
  <c r="J134" i="5"/>
  <c r="J61" i="5"/>
  <c r="J99" i="5"/>
  <c r="J136" i="5"/>
  <c r="J98" i="5"/>
  <c r="J135" i="5"/>
  <c r="B2" i="15"/>
  <c r="C67" i="11"/>
  <c r="C78" i="11"/>
  <c r="C28" i="11"/>
  <c r="C7" i="11"/>
  <c r="C36" i="11"/>
  <c r="C101" i="11"/>
  <c r="C115" i="11"/>
  <c r="C19" i="11"/>
  <c r="C23" i="11"/>
  <c r="C83" i="11"/>
  <c r="C100" i="11"/>
  <c r="C17" i="11"/>
  <c r="C42" i="11"/>
  <c r="C103" i="11"/>
  <c r="C64" i="11"/>
  <c r="C114" i="11"/>
  <c r="C48" i="11"/>
  <c r="C14" i="11"/>
  <c r="C72" i="11"/>
  <c r="C39" i="11"/>
  <c r="C35" i="11"/>
  <c r="C87" i="11"/>
  <c r="C121" i="11"/>
  <c r="C50" i="11"/>
  <c r="C86" i="11"/>
  <c r="C112" i="11"/>
  <c r="C89" i="11"/>
  <c r="C59" i="11"/>
  <c r="C4" i="11"/>
  <c r="C77" i="11"/>
  <c r="C18" i="11"/>
  <c r="C95" i="11"/>
  <c r="C40" i="11"/>
  <c r="C3" i="11"/>
  <c r="C55" i="11"/>
  <c r="C9" i="11"/>
  <c r="C80" i="11"/>
  <c r="C27" i="11"/>
  <c r="C45" i="11"/>
  <c r="C63" i="11"/>
  <c r="C81" i="11"/>
  <c r="C92" i="11"/>
  <c r="C106" i="11"/>
  <c r="C46" i="11"/>
  <c r="C68" i="11"/>
  <c r="C82" i="11"/>
  <c r="C104" i="11"/>
  <c r="C12" i="11"/>
  <c r="C71" i="11"/>
  <c r="C73" i="11"/>
  <c r="C41" i="11"/>
  <c r="C91" i="11"/>
  <c r="C109" i="11"/>
  <c r="C8" i="11"/>
  <c r="C22" i="11"/>
  <c r="C37" i="11"/>
  <c r="C16" i="11"/>
  <c r="C110" i="11"/>
  <c r="C13" i="11"/>
  <c r="C31" i="11"/>
  <c r="C49" i="11"/>
  <c r="C113" i="11"/>
  <c r="C54" i="11"/>
  <c r="C118" i="11"/>
  <c r="C60" i="11"/>
  <c r="C5" i="11"/>
  <c r="C69" i="11"/>
  <c r="C10" i="11"/>
  <c r="C74" i="11"/>
  <c r="C32" i="11"/>
  <c r="C105" i="11"/>
  <c r="C62" i="11"/>
  <c r="C11" i="11"/>
  <c r="C25" i="11"/>
  <c r="C75" i="11"/>
  <c r="C20" i="11"/>
  <c r="C84" i="11"/>
  <c r="C29" i="11"/>
  <c r="C34" i="11"/>
  <c r="C98" i="11"/>
  <c r="C47" i="11"/>
  <c r="C94" i="11"/>
  <c r="C116" i="11"/>
  <c r="C6" i="11"/>
  <c r="C93" i="11"/>
  <c r="C119" i="11"/>
  <c r="C21" i="11"/>
  <c r="C107" i="11"/>
  <c r="C70" i="11"/>
  <c r="C111" i="11"/>
  <c r="C120" i="11"/>
  <c r="C2" i="11"/>
  <c r="C56" i="11"/>
  <c r="C15" i="11"/>
  <c r="C57" i="11"/>
  <c r="C76" i="11"/>
  <c r="C24" i="11"/>
  <c r="C85" i="11"/>
  <c r="C65" i="11"/>
  <c r="C66" i="11"/>
  <c r="C90" i="11"/>
  <c r="C88" i="11"/>
  <c r="C30" i="11"/>
  <c r="C97" i="11"/>
  <c r="C52" i="11"/>
  <c r="C102" i="11"/>
  <c r="C108" i="11"/>
  <c r="C117" i="11"/>
  <c r="C122" i="11"/>
  <c r="C99" i="11"/>
  <c r="C38" i="11"/>
  <c r="C61" i="11"/>
  <c r="C26" i="11"/>
  <c r="C53" i="11"/>
  <c r="C51" i="11"/>
  <c r="C58" i="11"/>
  <c r="C33" i="11"/>
  <c r="C96" i="11"/>
  <c r="C43" i="11"/>
  <c r="C44" i="11"/>
  <c r="J129" i="15" l="1"/>
  <c r="J128" i="15"/>
  <c r="J135" i="15"/>
  <c r="J71" i="15"/>
  <c r="J115" i="15"/>
  <c r="J66" i="15"/>
  <c r="J109" i="15"/>
  <c r="J53" i="15"/>
  <c r="J68" i="15"/>
  <c r="J108" i="15"/>
  <c r="J92" i="15"/>
  <c r="J116" i="15"/>
  <c r="J83" i="15"/>
  <c r="J51" i="15"/>
  <c r="J126" i="15"/>
  <c r="J93" i="15"/>
  <c r="J62" i="15"/>
  <c r="J121" i="15"/>
  <c r="J65" i="15"/>
  <c r="J80" i="15"/>
  <c r="J32" i="15"/>
  <c r="J57" i="15"/>
  <c r="J120" i="15"/>
  <c r="J88" i="15"/>
  <c r="J127" i="15"/>
  <c r="J95" i="15"/>
  <c r="J47" i="15"/>
  <c r="J122" i="15"/>
  <c r="J90" i="15"/>
  <c r="J40" i="15"/>
  <c r="J81" i="15"/>
  <c r="J31" i="15"/>
  <c r="J30" i="15"/>
  <c r="J74" i="15"/>
  <c r="J117" i="15"/>
  <c r="J42" i="15"/>
  <c r="J63" i="15"/>
  <c r="J49" i="15"/>
  <c r="J52" i="15"/>
  <c r="J132" i="15"/>
  <c r="J114" i="15"/>
  <c r="J100" i="15"/>
  <c r="J84" i="15"/>
  <c r="J28" i="15"/>
  <c r="J123" i="15"/>
  <c r="J107" i="15"/>
  <c r="J91" i="15"/>
  <c r="J75" i="15"/>
  <c r="J59" i="15"/>
  <c r="J43" i="15"/>
  <c r="J134" i="15"/>
  <c r="J118" i="15"/>
  <c r="J102" i="15"/>
  <c r="J86" i="15"/>
  <c r="J70" i="15"/>
  <c r="J54" i="15"/>
  <c r="J38" i="15"/>
  <c r="J133" i="15"/>
  <c r="J113" i="15"/>
  <c r="J97" i="15"/>
  <c r="J77" i="15"/>
  <c r="J56" i="15"/>
  <c r="J37" i="15"/>
  <c r="J60" i="15"/>
  <c r="J33" i="15"/>
  <c r="J44" i="15"/>
  <c r="J112" i="15"/>
  <c r="J96" i="15"/>
  <c r="J76" i="15"/>
  <c r="J119" i="15"/>
  <c r="J103" i="15"/>
  <c r="J87" i="15"/>
  <c r="J55" i="15"/>
  <c r="J39" i="15"/>
  <c r="J131" i="15"/>
  <c r="J98" i="15"/>
  <c r="J82" i="15"/>
  <c r="J50" i="15"/>
  <c r="J34" i="15"/>
  <c r="J125" i="15"/>
  <c r="J94" i="15"/>
  <c r="J73" i="15"/>
  <c r="J29" i="15"/>
  <c r="J41" i="15"/>
  <c r="J89" i="15"/>
  <c r="J36" i="15"/>
  <c r="J124" i="15"/>
  <c r="J64" i="15"/>
  <c r="J130" i="15"/>
  <c r="J99" i="15"/>
  <c r="J67" i="15"/>
  <c r="J35" i="15"/>
  <c r="J110" i="15"/>
  <c r="J78" i="15"/>
  <c r="J46" i="15"/>
  <c r="J105" i="15"/>
  <c r="J85" i="15"/>
  <c r="J45" i="15"/>
  <c r="J69" i="15"/>
  <c r="J136" i="15"/>
  <c r="J104" i="15"/>
  <c r="J48" i="15"/>
  <c r="J111" i="15"/>
  <c r="J79" i="15"/>
  <c r="J27" i="15"/>
  <c r="A27" i="15" s="1"/>
  <c r="J106" i="15"/>
  <c r="J58" i="15"/>
  <c r="J137" i="15"/>
  <c r="J101" i="15"/>
  <c r="J61" i="15"/>
  <c r="J72" i="15"/>
  <c r="L85" i="8"/>
  <c r="C79" i="11"/>
  <c r="B2" i="16"/>
  <c r="B2" i="5"/>
  <c r="K55" i="8"/>
  <c r="K65" i="8"/>
  <c r="J76" i="8"/>
  <c r="J85" i="8"/>
  <c r="B30" i="11"/>
  <c r="G30" i="11" s="1"/>
  <c r="B94" i="11"/>
  <c r="G94" i="11" s="1"/>
  <c r="B107" i="11"/>
  <c r="G107" i="11" s="1"/>
  <c r="B57" i="11"/>
  <c r="G57" i="11" s="1"/>
  <c r="B19" i="11"/>
  <c r="G19" i="11" s="1"/>
  <c r="B26" i="11"/>
  <c r="G26" i="11" s="1"/>
  <c r="B40" i="11"/>
  <c r="G40" i="11" s="1"/>
  <c r="B39" i="11"/>
  <c r="G39" i="11" s="1"/>
  <c r="B22" i="11"/>
  <c r="G22" i="11" s="1"/>
  <c r="B108" i="11"/>
  <c r="G108" i="11" s="1"/>
  <c r="B2" i="11"/>
  <c r="G2" i="11" s="1"/>
  <c r="B38" i="11"/>
  <c r="G38" i="11" s="1"/>
  <c r="B4" i="11"/>
  <c r="G4" i="11" s="1"/>
  <c r="F4" i="11" s="1"/>
  <c r="B47" i="11"/>
  <c r="G47" i="11" s="1"/>
  <c r="B10" i="11"/>
  <c r="G10" i="11" s="1"/>
  <c r="B35" i="11"/>
  <c r="G35" i="11" s="1"/>
  <c r="B3" i="11"/>
  <c r="G3" i="11" s="1"/>
  <c r="B53" i="11"/>
  <c r="G53" i="11" s="1"/>
  <c r="B103" i="11"/>
  <c r="G103" i="11" s="1"/>
  <c r="B121" i="11"/>
  <c r="G121" i="11" s="1"/>
  <c r="B52" i="11"/>
  <c r="G52" i="11" s="1"/>
  <c r="B90" i="11"/>
  <c r="G90" i="11" s="1"/>
  <c r="B104" i="11"/>
  <c r="G104" i="11" s="1"/>
  <c r="B46" i="11"/>
  <c r="G46" i="11" s="1"/>
  <c r="B115" i="11"/>
  <c r="G115" i="11" s="1"/>
  <c r="B114" i="11"/>
  <c r="G114" i="11" s="1"/>
  <c r="B73" i="11"/>
  <c r="G73" i="11" s="1"/>
  <c r="B13" i="11"/>
  <c r="G13" i="11" s="1"/>
  <c r="B111" i="11"/>
  <c r="G111" i="11" s="1"/>
  <c r="B6" i="11"/>
  <c r="G6" i="11" s="1"/>
  <c r="B9" i="11"/>
  <c r="G9" i="11" s="1"/>
  <c r="B99" i="11"/>
  <c r="G99" i="11" s="1"/>
  <c r="B83" i="11"/>
  <c r="G83" i="11" s="1"/>
  <c r="B117" i="11"/>
  <c r="G117" i="11" s="1"/>
  <c r="B48" i="11"/>
  <c r="G48" i="11" s="1"/>
  <c r="B102" i="11"/>
  <c r="G102" i="11" s="1"/>
  <c r="B116" i="11"/>
  <c r="G116" i="11" s="1"/>
  <c r="B31" i="11"/>
  <c r="G31" i="11" s="1"/>
  <c r="B49" i="11"/>
  <c r="G49" i="11" s="1"/>
  <c r="B60" i="11"/>
  <c r="G60" i="11" s="1"/>
  <c r="B55" i="11"/>
  <c r="G55" i="11" s="1"/>
  <c r="B118" i="11"/>
  <c r="G118" i="11" s="1"/>
  <c r="B77" i="11"/>
  <c r="G77" i="11" s="1"/>
  <c r="B56" i="11"/>
  <c r="G56" i="11" s="1"/>
  <c r="B44" i="11"/>
  <c r="G44" i="11" s="1"/>
  <c r="B98" i="11"/>
  <c r="G98" i="11" s="1"/>
  <c r="B112" i="11"/>
  <c r="G112" i="11" s="1"/>
  <c r="B43" i="11"/>
  <c r="G43" i="11" s="1"/>
  <c r="B61" i="11"/>
  <c r="G61" i="11" s="1"/>
  <c r="B95" i="11"/>
  <c r="G95" i="11" s="1"/>
  <c r="B113" i="11"/>
  <c r="G113" i="11" s="1"/>
  <c r="B54" i="11"/>
  <c r="G54" i="11" s="1"/>
  <c r="B5" i="11"/>
  <c r="G5" i="11" s="1"/>
  <c r="F5" i="11" s="1"/>
  <c r="B64" i="11"/>
  <c r="G64" i="11" s="1"/>
  <c r="B59" i="11"/>
  <c r="G59" i="11" s="1"/>
  <c r="B18" i="11"/>
  <c r="G18" i="11" s="1"/>
  <c r="B65" i="11"/>
  <c r="G65" i="11" s="1"/>
  <c r="B74" i="11"/>
  <c r="G74" i="11" s="1"/>
  <c r="B69" i="11"/>
  <c r="G69" i="11" s="1"/>
  <c r="B119" i="11"/>
  <c r="G119" i="11" s="1"/>
  <c r="B42" i="11"/>
  <c r="G42" i="11" s="1"/>
  <c r="B68" i="11"/>
  <c r="G68" i="11" s="1"/>
  <c r="B106" i="11"/>
  <c r="G106" i="11" s="1"/>
  <c r="B120" i="11"/>
  <c r="G120" i="11" s="1"/>
  <c r="B6" i="13"/>
  <c r="B21" i="11"/>
  <c r="G21" i="11" s="1"/>
  <c r="B71" i="11"/>
  <c r="G71" i="11" s="1"/>
  <c r="B51" i="11"/>
  <c r="G51" i="11" s="1"/>
  <c r="B85" i="11"/>
  <c r="G85" i="11" s="1"/>
  <c r="B16" i="11"/>
  <c r="G16" i="11" s="1"/>
  <c r="B14" i="11"/>
  <c r="G14" i="11" s="1"/>
  <c r="B12" i="11"/>
  <c r="G12" i="11" s="1"/>
  <c r="B58" i="11"/>
  <c r="G58" i="11" s="1"/>
  <c r="B80" i="11"/>
  <c r="G80" i="11" s="1"/>
  <c r="B76" i="11"/>
  <c r="G76" i="11" s="1"/>
  <c r="B7" i="11"/>
  <c r="G7" i="11" s="1"/>
  <c r="B11" i="11"/>
  <c r="G11" i="11" s="1"/>
  <c r="B25" i="11"/>
  <c r="G25" i="11" s="1"/>
  <c r="B75" i="11"/>
  <c r="G75" i="11" s="1"/>
  <c r="B89" i="11"/>
  <c r="G89" i="11" s="1"/>
  <c r="B84" i="11"/>
  <c r="G84" i="11" s="1"/>
  <c r="B66" i="11"/>
  <c r="G66" i="11" s="1"/>
  <c r="B122" i="11"/>
  <c r="G122" i="11" s="1"/>
  <c r="B20" i="11"/>
  <c r="G20" i="11" s="1"/>
  <c r="B29" i="11"/>
  <c r="G29" i="11" s="1"/>
  <c r="B63" i="11"/>
  <c r="G63" i="11" s="1"/>
  <c r="B93" i="11"/>
  <c r="G93" i="11" s="1"/>
  <c r="B8" i="11"/>
  <c r="G8" i="11" s="1"/>
  <c r="B50" i="11"/>
  <c r="G50" i="11" s="1"/>
  <c r="B17" i="11"/>
  <c r="G17" i="11" s="1"/>
  <c r="B34" i="11"/>
  <c r="G34" i="11" s="1"/>
  <c r="B72" i="11"/>
  <c r="G72" i="11" s="1"/>
  <c r="B78" i="11"/>
  <c r="G78" i="11" s="1"/>
  <c r="B81" i="11"/>
  <c r="G81" i="11" s="1"/>
  <c r="B92" i="11"/>
  <c r="G92" i="11" s="1"/>
  <c r="B23" i="11"/>
  <c r="G23" i="11" s="1"/>
  <c r="B41" i="11"/>
  <c r="G41" i="11" s="1"/>
  <c r="B24" i="11"/>
  <c r="G24" i="11" s="1"/>
  <c r="B110" i="11"/>
  <c r="G110" i="11" s="1"/>
  <c r="B37" i="11"/>
  <c r="G37" i="11" s="1"/>
  <c r="B87" i="11"/>
  <c r="G87" i="11" s="1"/>
  <c r="B105" i="11"/>
  <c r="G105" i="11" s="1"/>
  <c r="B36" i="11"/>
  <c r="G36" i="11" s="1"/>
  <c r="B70" i="11"/>
  <c r="G70" i="11" s="1"/>
  <c r="B88" i="11"/>
  <c r="G88" i="11" s="1"/>
  <c r="B62" i="11"/>
  <c r="G62" i="11" s="1"/>
  <c r="B15" i="11"/>
  <c r="G15" i="11" s="1"/>
  <c r="B3" i="13"/>
  <c r="B4" i="13" s="1"/>
  <c r="B109" i="11"/>
  <c r="G109" i="11" s="1"/>
  <c r="B67" i="11"/>
  <c r="G67" i="11" s="1"/>
  <c r="B101" i="11"/>
  <c r="G101" i="11" s="1"/>
  <c r="B32" i="11"/>
  <c r="G32" i="11" s="1"/>
  <c r="B86" i="11"/>
  <c r="G86" i="11" s="1"/>
  <c r="B100" i="11"/>
  <c r="G100" i="11" s="1"/>
  <c r="B33" i="11"/>
  <c r="G33" i="11" s="1"/>
  <c r="B91" i="11"/>
  <c r="G91" i="11" s="1"/>
  <c r="B28" i="11"/>
  <c r="G28" i="11" s="1"/>
  <c r="B82" i="11"/>
  <c r="G82" i="11" s="1"/>
  <c r="B96" i="11"/>
  <c r="G96" i="11" s="1"/>
  <c r="B27" i="11"/>
  <c r="G27" i="11" s="1"/>
  <c r="B45" i="11"/>
  <c r="G45" i="11" s="1"/>
  <c r="B79" i="11"/>
  <c r="G79" i="11" s="1"/>
  <c r="B97" i="11"/>
  <c r="G97" i="11" s="1"/>
  <c r="E47" i="8"/>
  <c r="J54" i="5" l="1"/>
  <c r="J56" i="5"/>
  <c r="J57" i="5"/>
  <c r="J58" i="5"/>
  <c r="J94" i="5"/>
  <c r="J126" i="5"/>
  <c r="J90" i="5"/>
  <c r="J128" i="5"/>
  <c r="J125" i="5"/>
  <c r="J89" i="5"/>
  <c r="J131" i="5"/>
  <c r="J88" i="5"/>
  <c r="J130" i="5"/>
  <c r="J127" i="5"/>
  <c r="J91" i="5"/>
  <c r="J132" i="5"/>
  <c r="J52" i="5"/>
  <c r="J92" i="5"/>
  <c r="J129" i="5"/>
  <c r="J51" i="5"/>
  <c r="J55" i="5"/>
  <c r="J93" i="5"/>
  <c r="J53" i="5"/>
  <c r="J95" i="5"/>
  <c r="J36" i="5"/>
  <c r="J74" i="5"/>
  <c r="J113" i="5"/>
  <c r="J34" i="5"/>
  <c r="J119" i="5"/>
  <c r="J41" i="5"/>
  <c r="J80" i="5"/>
  <c r="J122" i="5"/>
  <c r="J47" i="5"/>
  <c r="J35" i="5"/>
  <c r="J77" i="5"/>
  <c r="J116" i="5"/>
  <c r="J123" i="5"/>
  <c r="J45" i="5"/>
  <c r="J121" i="5"/>
  <c r="J50" i="5"/>
  <c r="J114" i="5"/>
  <c r="J44" i="5"/>
  <c r="J107" i="5"/>
  <c r="J40" i="5"/>
  <c r="J79" i="5"/>
  <c r="J117" i="5"/>
  <c r="J38" i="5"/>
  <c r="J76" i="5"/>
  <c r="J46" i="5"/>
  <c r="J84" i="5"/>
  <c r="J109" i="5"/>
  <c r="J115" i="5"/>
  <c r="J39" i="5"/>
  <c r="J82" i="5"/>
  <c r="J120" i="5"/>
  <c r="J83" i="5"/>
  <c r="J85" i="5"/>
  <c r="J71" i="5"/>
  <c r="J72" i="5"/>
  <c r="J124" i="5"/>
  <c r="J49" i="5"/>
  <c r="J70" i="5"/>
  <c r="J87" i="5"/>
  <c r="J108" i="5"/>
  <c r="J37" i="5"/>
  <c r="J75" i="5"/>
  <c r="J118" i="5"/>
  <c r="J81" i="5"/>
  <c r="J78" i="5"/>
  <c r="J48" i="5"/>
  <c r="J73" i="5"/>
  <c r="J112" i="5"/>
  <c r="J110" i="5"/>
  <c r="J111" i="5"/>
  <c r="J42" i="5"/>
  <c r="J33" i="5"/>
  <c r="J86" i="5"/>
  <c r="J43" i="5"/>
  <c r="J32" i="5"/>
  <c r="J105" i="5"/>
  <c r="J31" i="5"/>
  <c r="J69" i="5"/>
  <c r="J68" i="5"/>
  <c r="J106" i="5"/>
  <c r="J66" i="5"/>
  <c r="J29" i="5"/>
  <c r="J103" i="5"/>
  <c r="J104" i="5"/>
  <c r="J67" i="5"/>
  <c r="J101" i="5"/>
  <c r="J30" i="5"/>
  <c r="J28" i="5"/>
  <c r="J64" i="5"/>
  <c r="J102" i="5"/>
  <c r="J65" i="5"/>
  <c r="J27" i="5"/>
  <c r="A28" i="15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1" i="15" s="1"/>
  <c r="A42" i="15" s="1"/>
  <c r="A40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7" i="15" s="1"/>
  <c r="A56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4" i="15" s="1"/>
  <c r="A93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5" i="15" s="1"/>
  <c r="A116" i="15" s="1"/>
  <c r="A114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1" i="15" s="1"/>
  <c r="A130" i="15" s="1"/>
  <c r="A132" i="15" s="1"/>
  <c r="A133" i="15" s="1"/>
  <c r="A134" i="15" s="1"/>
  <c r="A135" i="15" s="1"/>
  <c r="A136" i="15" s="1"/>
  <c r="A137" i="15" s="1"/>
  <c r="A138" i="15" s="1"/>
  <c r="B3" i="16"/>
  <c r="J75" i="16" s="1"/>
  <c r="B3" i="5"/>
  <c r="B3" i="12"/>
  <c r="B8" i="13"/>
  <c r="J56" i="8"/>
  <c r="F6" i="1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J91" i="16" l="1"/>
  <c r="J114" i="16"/>
  <c r="J68" i="16"/>
  <c r="J124" i="16"/>
  <c r="J112" i="16"/>
  <c r="J77" i="16"/>
  <c r="J80" i="16"/>
  <c r="J126" i="16"/>
  <c r="J99" i="16"/>
  <c r="J120" i="16"/>
  <c r="J69" i="16"/>
  <c r="J118" i="16"/>
  <c r="J62" i="16"/>
  <c r="J97" i="16"/>
  <c r="J37" i="16"/>
  <c r="J52" i="16"/>
  <c r="J63" i="16"/>
  <c r="J103" i="16"/>
  <c r="J82" i="16"/>
  <c r="J101" i="16"/>
  <c r="J86" i="16"/>
  <c r="J27" i="16"/>
  <c r="J95" i="16"/>
  <c r="J39" i="16"/>
  <c r="J64" i="16"/>
  <c r="J133" i="16"/>
  <c r="J54" i="16"/>
  <c r="J127" i="16"/>
  <c r="J45" i="16"/>
  <c r="J116" i="16"/>
  <c r="J93" i="16"/>
  <c r="J59" i="16"/>
  <c r="J65" i="16"/>
  <c r="J44" i="16"/>
  <c r="J115" i="16"/>
  <c r="J128" i="16"/>
  <c r="J85" i="16"/>
  <c r="J55" i="16"/>
  <c r="J88" i="16"/>
  <c r="J70" i="16"/>
  <c r="J134" i="16"/>
  <c r="J94" i="16"/>
  <c r="J48" i="16"/>
  <c r="J125" i="16"/>
  <c r="J30" i="16"/>
  <c r="J43" i="16"/>
  <c r="J57" i="16"/>
  <c r="J129" i="16"/>
  <c r="J50" i="16"/>
  <c r="J67" i="16"/>
  <c r="J53" i="16"/>
  <c r="J117" i="16"/>
  <c r="J130" i="16"/>
  <c r="J38" i="16"/>
  <c r="J102" i="16"/>
  <c r="J47" i="16"/>
  <c r="J78" i="16"/>
  <c r="J29" i="16"/>
  <c r="J109" i="16"/>
  <c r="J87" i="16"/>
  <c r="J84" i="16"/>
  <c r="J83" i="16"/>
  <c r="J66" i="16"/>
  <c r="J33" i="16"/>
  <c r="J104" i="16"/>
  <c r="J135" i="16"/>
  <c r="J81" i="16"/>
  <c r="J76" i="16"/>
  <c r="J51" i="16"/>
  <c r="J46" i="16"/>
  <c r="J92" i="16"/>
  <c r="J113" i="16"/>
  <c r="J34" i="16"/>
  <c r="J35" i="16"/>
  <c r="J61" i="16"/>
  <c r="J36" i="16"/>
  <c r="J110" i="16"/>
  <c r="J49" i="16"/>
  <c r="J123" i="16"/>
  <c r="J131" i="16"/>
  <c r="J111" i="16"/>
  <c r="J72" i="16"/>
  <c r="J56" i="16"/>
  <c r="J121" i="16"/>
  <c r="J28" i="16"/>
  <c r="J40" i="16"/>
  <c r="J106" i="16"/>
  <c r="J79" i="16"/>
  <c r="J108" i="16"/>
  <c r="J73" i="16"/>
  <c r="J137" i="16"/>
  <c r="J60" i="16"/>
  <c r="J58" i="16"/>
  <c r="J122" i="16"/>
  <c r="J98" i="16"/>
  <c r="J32" i="16"/>
  <c r="J119" i="16"/>
  <c r="J136" i="16"/>
  <c r="J89" i="16"/>
  <c r="J71" i="16"/>
  <c r="J96" i="16"/>
  <c r="J74" i="16"/>
  <c r="J31" i="16"/>
  <c r="J100" i="16"/>
  <c r="J41" i="16"/>
  <c r="J42" i="16"/>
  <c r="J105" i="16"/>
  <c r="J107" i="16"/>
  <c r="J132" i="16"/>
  <c r="J90" i="16"/>
  <c r="D4" i="13"/>
  <c r="C22" i="15"/>
  <c r="D22" i="15" s="1"/>
  <c r="C18" i="15"/>
  <c r="D18" i="15" s="1"/>
  <c r="I19" i="15"/>
  <c r="L10" i="15"/>
  <c r="B22" i="15"/>
  <c r="K10" i="15"/>
  <c r="E15" i="15"/>
  <c r="F15" i="15" s="1"/>
  <c r="B15" i="15"/>
  <c r="C11" i="15"/>
  <c r="D11" i="15" s="1"/>
  <c r="B19" i="15"/>
  <c r="K16" i="15"/>
  <c r="L9" i="15"/>
  <c r="E22" i="15"/>
  <c r="F22" i="15" s="1"/>
  <c r="J21" i="15"/>
  <c r="L22" i="15"/>
  <c r="L13" i="15"/>
  <c r="I21" i="15"/>
  <c r="L18" i="15"/>
  <c r="K13" i="15"/>
  <c r="J17" i="15"/>
  <c r="K9" i="15"/>
  <c r="J9" i="15"/>
  <c r="K15" i="15"/>
  <c r="J14" i="15"/>
  <c r="B18" i="15"/>
  <c r="K8" i="15"/>
  <c r="E20" i="15"/>
  <c r="F20" i="15" s="1"/>
  <c r="K19" i="15"/>
  <c r="J12" i="15"/>
  <c r="J18" i="15"/>
  <c r="I18" i="15"/>
  <c r="E9" i="15"/>
  <c r="F9" i="15" s="1"/>
  <c r="J11" i="15"/>
  <c r="C20" i="15"/>
  <c r="D20" i="15" s="1"/>
  <c r="L15" i="15"/>
  <c r="G16" i="15"/>
  <c r="G14" i="15"/>
  <c r="L11" i="15"/>
  <c r="L12" i="15"/>
  <c r="C15" i="15"/>
  <c r="D15" i="15" s="1"/>
  <c r="J13" i="15"/>
  <c r="G21" i="15"/>
  <c r="J10" i="15"/>
  <c r="K12" i="15"/>
  <c r="B17" i="15"/>
  <c r="G20" i="15"/>
  <c r="E16" i="15"/>
  <c r="F16" i="15" s="1"/>
  <c r="L16" i="15"/>
  <c r="B8" i="15"/>
  <c r="B91" i="8" s="1"/>
  <c r="I12" i="15"/>
  <c r="E13" i="15"/>
  <c r="F13" i="15" s="1"/>
  <c r="I15" i="15"/>
  <c r="J8" i="15"/>
  <c r="L19" i="15"/>
  <c r="G19" i="15"/>
  <c r="B12" i="15"/>
  <c r="E18" i="15"/>
  <c r="F18" i="15" s="1"/>
  <c r="I17" i="15"/>
  <c r="L8" i="15"/>
  <c r="B11" i="15"/>
  <c r="G9" i="15"/>
  <c r="B14" i="15"/>
  <c r="G8" i="15"/>
  <c r="J15" i="15"/>
  <c r="L21" i="15"/>
  <c r="E21" i="15"/>
  <c r="F21" i="15" s="1"/>
  <c r="E8" i="15"/>
  <c r="F8" i="15" s="1"/>
  <c r="B10" i="15"/>
  <c r="I22" i="15"/>
  <c r="E17" i="15"/>
  <c r="F17" i="15" s="1"/>
  <c r="C12" i="15"/>
  <c r="D12" i="15" s="1"/>
  <c r="B21" i="15"/>
  <c r="L17" i="15"/>
  <c r="L14" i="15"/>
  <c r="C17" i="15"/>
  <c r="D17" i="15" s="1"/>
  <c r="E10" i="15"/>
  <c r="F10" i="15" s="1"/>
  <c r="E11" i="15"/>
  <c r="F11" i="15" s="1"/>
  <c r="E19" i="15"/>
  <c r="F19" i="15" s="1"/>
  <c r="K18" i="15"/>
  <c r="G13" i="15"/>
  <c r="B20" i="15"/>
  <c r="G12" i="15"/>
  <c r="J19" i="15"/>
  <c r="J20" i="15"/>
  <c r="C13" i="15"/>
  <c r="D13" i="15" s="1"/>
  <c r="I16" i="15"/>
  <c r="C19" i="15"/>
  <c r="D19" i="15" s="1"/>
  <c r="I11" i="15"/>
  <c r="K17" i="15"/>
  <c r="J16" i="15"/>
  <c r="C21" i="15"/>
  <c r="D21" i="15" s="1"/>
  <c r="I10" i="15"/>
  <c r="I8" i="15"/>
  <c r="G11" i="15"/>
  <c r="E12" i="15"/>
  <c r="F12" i="15" s="1"/>
  <c r="G18" i="15"/>
  <c r="C16" i="15"/>
  <c r="D16" i="15" s="1"/>
  <c r="C14" i="15"/>
  <c r="D14" i="15" s="1"/>
  <c r="G17" i="15"/>
  <c r="I20" i="15"/>
  <c r="I9" i="15"/>
  <c r="K21" i="15"/>
  <c r="L20" i="15"/>
  <c r="G22" i="15"/>
  <c r="K22" i="15"/>
  <c r="K14" i="15"/>
  <c r="B16" i="15"/>
  <c r="B13" i="15"/>
  <c r="G10" i="15"/>
  <c r="K11" i="15"/>
  <c r="I14" i="15"/>
  <c r="C10" i="15"/>
  <c r="D10" i="15" s="1"/>
  <c r="E14" i="15"/>
  <c r="F14" i="15" s="1"/>
  <c r="B9" i="15"/>
  <c r="G15" i="15"/>
  <c r="H15" i="15" s="1"/>
  <c r="C8" i="15"/>
  <c r="I13" i="15"/>
  <c r="C9" i="15"/>
  <c r="D9" i="15" s="1"/>
  <c r="J22" i="15"/>
  <c r="K20" i="15"/>
  <c r="H20" i="15" l="1"/>
  <c r="D8" i="15"/>
  <c r="D95" i="8"/>
  <c r="E89" i="8" s="1"/>
  <c r="D94" i="8"/>
  <c r="H22" i="15"/>
  <c r="H18" i="15"/>
  <c r="H19" i="15"/>
  <c r="H17" i="15"/>
  <c r="H21" i="15"/>
  <c r="H8" i="15"/>
  <c r="H13" i="15"/>
  <c r="H16" i="15"/>
  <c r="H10" i="15"/>
  <c r="H9" i="15"/>
  <c r="H12" i="15"/>
  <c r="H11" i="15"/>
  <c r="H14" i="15"/>
  <c r="A27" i="5" l="1"/>
  <c r="A28" i="5" l="1"/>
  <c r="A29" i="5" s="1"/>
  <c r="A30" i="5" s="1"/>
  <c r="A31" i="5" l="1"/>
  <c r="A32" i="5" l="1"/>
  <c r="A33" i="5" l="1"/>
  <c r="A34" i="5" l="1"/>
  <c r="A35" i="5" l="1"/>
  <c r="A27" i="16"/>
  <c r="A36" i="5" l="1"/>
  <c r="A28" i="16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37" i="5" l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l="1"/>
  <c r="A77" i="5" s="1"/>
  <c r="A78" i="5" s="1"/>
  <c r="A79" i="5" s="1"/>
  <c r="A80" i="5" s="1"/>
  <c r="A81" i="5" s="1"/>
  <c r="A82" i="5" s="1"/>
  <c r="A83" i="5" s="1"/>
  <c r="A84" i="5" l="1"/>
  <c r="A85" i="5" l="1"/>
  <c r="A86" i="5" s="1"/>
  <c r="A87" i="5" s="1"/>
  <c r="A88" i="5" s="1"/>
  <c r="A89" i="5" s="1"/>
  <c r="A90" i="5" s="1"/>
  <c r="A91" i="5" s="1"/>
  <c r="A92" i="5" s="1"/>
  <c r="A93" i="5" s="1"/>
  <c r="A94" i="5" l="1"/>
  <c r="A95" i="5" l="1"/>
  <c r="A96" i="5" l="1"/>
  <c r="K13" i="16"/>
  <c r="A97" i="5" l="1"/>
  <c r="K11" i="16"/>
  <c r="L13" i="16"/>
  <c r="K9" i="16"/>
  <c r="L16" i="16"/>
  <c r="K8" i="16"/>
  <c r="J10" i="16"/>
  <c r="L15" i="16"/>
  <c r="J13" i="16"/>
  <c r="J9" i="16"/>
  <c r="L12" i="16"/>
  <c r="L10" i="16"/>
  <c r="J11" i="16"/>
  <c r="J18" i="16"/>
  <c r="J14" i="16"/>
  <c r="K12" i="16"/>
  <c r="J15" i="16"/>
  <c r="J8" i="16"/>
  <c r="J16" i="16"/>
  <c r="K17" i="16"/>
  <c r="J22" i="16"/>
  <c r="L8" i="16"/>
  <c r="L9" i="16"/>
  <c r="K10" i="16"/>
  <c r="L17" i="16"/>
  <c r="J12" i="16"/>
  <c r="L11" i="16"/>
  <c r="J20" i="16"/>
  <c r="L21" i="16"/>
  <c r="L14" i="16"/>
  <c r="L20" i="16"/>
  <c r="K22" i="16"/>
  <c r="K15" i="16"/>
  <c r="J17" i="16"/>
  <c r="L18" i="16"/>
  <c r="K14" i="16"/>
  <c r="K16" i="16"/>
  <c r="K20" i="16" l="1"/>
  <c r="K21" i="16"/>
  <c r="K18" i="16"/>
  <c r="J21" i="16"/>
  <c r="K19" i="16"/>
  <c r="L22" i="16"/>
  <c r="L19" i="16"/>
  <c r="J19" i="16"/>
  <c r="A98" i="5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I17" i="16"/>
  <c r="I10" i="16"/>
  <c r="I8" i="16"/>
  <c r="I14" i="16"/>
  <c r="A138" i="16"/>
  <c r="E12" i="16" s="1"/>
  <c r="F12" i="16" s="1"/>
  <c r="I16" i="16"/>
  <c r="I20" i="16"/>
  <c r="I9" i="16"/>
  <c r="I22" i="16"/>
  <c r="I15" i="16"/>
  <c r="I21" i="16"/>
  <c r="I11" i="16"/>
  <c r="I12" i="16"/>
  <c r="I13" i="16"/>
  <c r="I18" i="16"/>
  <c r="I19" i="16"/>
  <c r="A113" i="5" l="1"/>
  <c r="C13" i="16"/>
  <c r="D13" i="16" s="1"/>
  <c r="E19" i="16"/>
  <c r="F19" i="16" s="1"/>
  <c r="B17" i="16"/>
  <c r="B22" i="16"/>
  <c r="G15" i="16"/>
  <c r="E16" i="16"/>
  <c r="F16" i="16" s="1"/>
  <c r="C20" i="16"/>
  <c r="D20" i="16" s="1"/>
  <c r="B9" i="16"/>
  <c r="G8" i="16"/>
  <c r="G21" i="16"/>
  <c r="C16" i="16"/>
  <c r="D16" i="16" s="1"/>
  <c r="E17" i="16"/>
  <c r="F17" i="16" s="1"/>
  <c r="C9" i="16"/>
  <c r="D9" i="16" s="1"/>
  <c r="C10" i="16"/>
  <c r="D10" i="16" s="1"/>
  <c r="B14" i="16"/>
  <c r="C14" i="16"/>
  <c r="D14" i="16" s="1"/>
  <c r="G11" i="16"/>
  <c r="B18" i="16"/>
  <c r="C8" i="16"/>
  <c r="B12" i="16"/>
  <c r="G9" i="16"/>
  <c r="E22" i="16"/>
  <c r="F22" i="16" s="1"/>
  <c r="C15" i="16"/>
  <c r="D15" i="16" s="1"/>
  <c r="G17" i="16"/>
  <c r="B8" i="16"/>
  <c r="B80" i="8" s="1"/>
  <c r="G20" i="16"/>
  <c r="E18" i="16"/>
  <c r="F18" i="16" s="1"/>
  <c r="G13" i="16"/>
  <c r="B19" i="16"/>
  <c r="G12" i="16"/>
  <c r="H12" i="16" s="1"/>
  <c r="G10" i="16"/>
  <c r="E21" i="16"/>
  <c r="E11" i="16"/>
  <c r="F11" i="16" s="1"/>
  <c r="C12" i="16"/>
  <c r="D12" i="16" s="1"/>
  <c r="E13" i="16"/>
  <c r="F13" i="16" s="1"/>
  <c r="G19" i="16"/>
  <c r="E10" i="16"/>
  <c r="F10" i="16" s="1"/>
  <c r="B16" i="16"/>
  <c r="E9" i="16"/>
  <c r="F9" i="16" s="1"/>
  <c r="C22" i="16"/>
  <c r="D22" i="16" s="1"/>
  <c r="C11" i="16"/>
  <c r="D11" i="16" s="1"/>
  <c r="G14" i="16"/>
  <c r="G22" i="16"/>
  <c r="B10" i="16"/>
  <c r="B15" i="16"/>
  <c r="C17" i="16"/>
  <c r="D17" i="16" s="1"/>
  <c r="G18" i="16"/>
  <c r="H18" i="16" s="1"/>
  <c r="B20" i="16"/>
  <c r="B11" i="16"/>
  <c r="E15" i="16"/>
  <c r="E20" i="16"/>
  <c r="F20" i="16" s="1"/>
  <c r="E8" i="16"/>
  <c r="G16" i="16"/>
  <c r="B13" i="16"/>
  <c r="B21" i="16"/>
  <c r="C18" i="16"/>
  <c r="D18" i="16" s="1"/>
  <c r="E14" i="16"/>
  <c r="F14" i="16" s="1"/>
  <c r="C19" i="16"/>
  <c r="D19" i="16" s="1"/>
  <c r="C21" i="16"/>
  <c r="D21" i="16" s="1"/>
  <c r="A114" i="5" l="1"/>
  <c r="H19" i="16"/>
  <c r="D83" i="8"/>
  <c r="D84" i="8"/>
  <c r="E78" i="8" s="1"/>
  <c r="H16" i="16"/>
  <c r="H22" i="16"/>
  <c r="H17" i="16"/>
  <c r="H13" i="16"/>
  <c r="H9" i="16"/>
  <c r="H11" i="16"/>
  <c r="H14" i="16"/>
  <c r="F8" i="16"/>
  <c r="H8" i="16"/>
  <c r="H10" i="16"/>
  <c r="F15" i="16"/>
  <c r="H15" i="16"/>
  <c r="H20" i="16"/>
  <c r="D8" i="16"/>
  <c r="F21" i="16"/>
  <c r="H21" i="16"/>
  <c r="A115" i="5" l="1"/>
  <c r="A116" i="5" l="1"/>
  <c r="A117" i="5" l="1"/>
  <c r="A118" i="5" l="1"/>
  <c r="A119" i="5" l="1"/>
  <c r="A120" i="5" l="1"/>
  <c r="A121" i="5" l="1"/>
  <c r="A122" i="5" l="1"/>
  <c r="A123" i="5" l="1"/>
  <c r="A124" i="5" s="1"/>
  <c r="A125" i="5" s="1"/>
  <c r="A126" i="5" s="1"/>
  <c r="A127" i="5" s="1"/>
  <c r="A128" i="5" s="1"/>
  <c r="A129" i="5" s="1"/>
  <c r="A130" i="5" s="1"/>
  <c r="A131" i="5" s="1"/>
  <c r="A132" i="5" l="1"/>
  <c r="A133" i="5" s="1"/>
  <c r="J8" i="5"/>
  <c r="L8" i="5"/>
  <c r="L10" i="5"/>
  <c r="K8" i="5"/>
  <c r="K9" i="5"/>
  <c r="K10" i="5"/>
  <c r="L9" i="5"/>
  <c r="J10" i="5"/>
  <c r="J9" i="5"/>
  <c r="L20" i="5"/>
  <c r="L21" i="5"/>
  <c r="J11" i="5"/>
  <c r="J12" i="5"/>
  <c r="K13" i="5"/>
  <c r="L15" i="5"/>
  <c r="J18" i="5"/>
  <c r="K22" i="5"/>
  <c r="J13" i="5"/>
  <c r="J17" i="5"/>
  <c r="A134" i="5" l="1"/>
  <c r="A135" i="5" s="1"/>
  <c r="A136" i="5" s="1"/>
  <c r="A137" i="5" s="1"/>
  <c r="K21" i="5"/>
  <c r="K15" i="5"/>
  <c r="K20" i="5"/>
  <c r="K16" i="5"/>
  <c r="L12" i="5"/>
  <c r="K12" i="5"/>
  <c r="L19" i="5"/>
  <c r="L11" i="5"/>
  <c r="K14" i="5"/>
  <c r="K11" i="5"/>
  <c r="L13" i="5"/>
  <c r="J20" i="5"/>
  <c r="L17" i="5"/>
  <c r="J22" i="5"/>
  <c r="L22" i="5"/>
  <c r="L16" i="5"/>
  <c r="K17" i="5"/>
  <c r="L18" i="5"/>
  <c r="K18" i="5"/>
  <c r="J19" i="5"/>
  <c r="J15" i="5"/>
  <c r="J14" i="5"/>
  <c r="J16" i="5"/>
  <c r="K19" i="5"/>
  <c r="L14" i="5"/>
  <c r="J21" i="5"/>
  <c r="I10" i="5" l="1"/>
  <c r="I8" i="5"/>
  <c r="I9" i="5"/>
  <c r="A138" i="5"/>
  <c r="I14" i="5"/>
  <c r="I11" i="5"/>
  <c r="I19" i="5"/>
  <c r="I22" i="5"/>
  <c r="I12" i="5"/>
  <c r="I16" i="5"/>
  <c r="I17" i="5"/>
  <c r="I18" i="5"/>
  <c r="I20" i="5"/>
  <c r="I21" i="5"/>
  <c r="I13" i="5"/>
  <c r="I15" i="5"/>
  <c r="G8" i="5" l="1"/>
  <c r="E10" i="5"/>
  <c r="F10" i="5" s="1"/>
  <c r="B8" i="5"/>
  <c r="C8" i="5"/>
  <c r="C9" i="5"/>
  <c r="D9" i="5" s="1"/>
  <c r="B9" i="5"/>
  <c r="B10" i="5"/>
  <c r="G9" i="5"/>
  <c r="E9" i="5"/>
  <c r="F9" i="5" s="1"/>
  <c r="G10" i="5"/>
  <c r="H10" i="5" s="1"/>
  <c r="E8" i="5"/>
  <c r="F8" i="5" s="1"/>
  <c r="C10" i="5"/>
  <c r="D10" i="5" s="1"/>
  <c r="C22" i="5"/>
  <c r="D22" i="5" s="1"/>
  <c r="C15" i="5"/>
  <c r="D15" i="5" s="1"/>
  <c r="C13" i="5"/>
  <c r="D13" i="5" s="1"/>
  <c r="G14" i="5"/>
  <c r="H14" i="5" s="1"/>
  <c r="G18" i="5"/>
  <c r="H18" i="5" s="1"/>
  <c r="B17" i="5"/>
  <c r="B16" i="5"/>
  <c r="E19" i="5"/>
  <c r="F19" i="5" s="1"/>
  <c r="G21" i="5"/>
  <c r="H21" i="5" s="1"/>
  <c r="G22" i="5"/>
  <c r="H22" i="5" s="1"/>
  <c r="C17" i="5"/>
  <c r="D17" i="5" s="1"/>
  <c r="B21" i="5"/>
  <c r="B15" i="5"/>
  <c r="E14" i="5"/>
  <c r="F14" i="5" s="1"/>
  <c r="C11" i="5"/>
  <c r="D11" i="5" s="1"/>
  <c r="B19" i="5"/>
  <c r="C19" i="5"/>
  <c r="D19" i="5" s="1"/>
  <c r="E20" i="5"/>
  <c r="F20" i="5" s="1"/>
  <c r="B20" i="5"/>
  <c r="C16" i="5"/>
  <c r="D16" i="5" s="1"/>
  <c r="C18" i="5"/>
  <c r="D18" i="5" s="1"/>
  <c r="E11" i="5"/>
  <c r="F11" i="5" s="1"/>
  <c r="G20" i="5"/>
  <c r="H20" i="5" s="1"/>
  <c r="G12" i="5"/>
  <c r="H12" i="5" s="1"/>
  <c r="G13" i="5"/>
  <c r="H13" i="5" s="1"/>
  <c r="C20" i="5"/>
  <c r="D20" i="5" s="1"/>
  <c r="B12" i="5"/>
  <c r="G17" i="5"/>
  <c r="H17" i="5" s="1"/>
  <c r="G16" i="5"/>
  <c r="H16" i="5" s="1"/>
  <c r="C21" i="5"/>
  <c r="D21" i="5" s="1"/>
  <c r="G19" i="5"/>
  <c r="H19" i="5" s="1"/>
  <c r="E16" i="5"/>
  <c r="F16" i="5" s="1"/>
  <c r="E18" i="5"/>
  <c r="F18" i="5" s="1"/>
  <c r="E13" i="5"/>
  <c r="F13" i="5" s="1"/>
  <c r="E22" i="5"/>
  <c r="F22" i="5" s="1"/>
  <c r="E12" i="5"/>
  <c r="F12" i="5" s="1"/>
  <c r="E15" i="5"/>
  <c r="F15" i="5" s="1"/>
  <c r="B18" i="5"/>
  <c r="C12" i="5"/>
  <c r="D12" i="5" s="1"/>
  <c r="E17" i="5"/>
  <c r="F17" i="5" s="1"/>
  <c r="B22" i="5"/>
  <c r="B11" i="5"/>
  <c r="E21" i="5"/>
  <c r="F21" i="5" s="1"/>
  <c r="C14" i="5"/>
  <c r="D14" i="5" s="1"/>
  <c r="G15" i="5"/>
  <c r="H15" i="5" s="1"/>
  <c r="B14" i="5"/>
  <c r="G11" i="5"/>
  <c r="H11" i="5" s="1"/>
  <c r="B13" i="5"/>
  <c r="E69" i="8" l="1"/>
  <c r="H9" i="5"/>
  <c r="H8" i="5"/>
  <c r="D3" i="5"/>
  <c r="D75" i="8"/>
  <c r="D8" i="5"/>
  <c r="D2" i="5"/>
  <c r="B71" i="8" s="1"/>
  <c r="A57" i="8" s="1"/>
  <c r="D74" i="8"/>
  <c r="G4" i="13" l="1"/>
  <c r="J27" i="12" s="1"/>
  <c r="A27" i="12" s="1"/>
  <c r="J54" i="12" l="1"/>
  <c r="J52" i="12"/>
  <c r="J51" i="12"/>
  <c r="B2" i="12"/>
  <c r="J53" i="12"/>
  <c r="J47" i="12"/>
  <c r="J49" i="12"/>
  <c r="H4" i="13"/>
  <c r="J50" i="12"/>
  <c r="J48" i="12"/>
  <c r="J46" i="12"/>
  <c r="J43" i="12"/>
  <c r="J45" i="12"/>
  <c r="J41" i="12"/>
  <c r="J44" i="12"/>
  <c r="J42" i="12"/>
  <c r="J39" i="12"/>
  <c r="J38" i="12"/>
  <c r="J40" i="12"/>
  <c r="J36" i="12"/>
  <c r="J37" i="12"/>
  <c r="J34" i="12"/>
  <c r="J35" i="12"/>
  <c r="J33" i="12"/>
  <c r="J31" i="12"/>
  <c r="J32" i="12"/>
  <c r="J29" i="12"/>
  <c r="J28" i="12"/>
  <c r="J30" i="12"/>
  <c r="A28" i="12" l="1"/>
  <c r="A29" i="12" l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D54" i="8"/>
  <c r="L19" i="12" l="1"/>
  <c r="N64" i="8"/>
  <c r="N70" i="8"/>
  <c r="N67" i="8"/>
  <c r="D63" i="8"/>
  <c r="N71" i="8"/>
  <c r="D64" i="8"/>
  <c r="E58" i="8" s="1"/>
  <c r="N69" i="8"/>
  <c r="N68" i="8"/>
  <c r="B58" i="8"/>
  <c r="N66" i="8"/>
  <c r="N65" i="8"/>
  <c r="B60" i="8"/>
  <c r="B10" i="12" l="1"/>
  <c r="J19" i="12" l="1"/>
  <c r="I11" i="12"/>
  <c r="C13" i="12"/>
  <c r="D13" i="12" s="1"/>
  <c r="K12" i="12"/>
  <c r="J11" i="12"/>
  <c r="G12" i="12"/>
  <c r="I16" i="12"/>
  <c r="G13" i="12"/>
  <c r="B17" i="12"/>
  <c r="G20" i="12"/>
  <c r="H20" i="12" s="1"/>
  <c r="L17" i="12"/>
  <c r="C19" i="12"/>
  <c r="D19" i="12" s="1"/>
  <c r="B13" i="12"/>
  <c r="I9" i="12"/>
  <c r="K19" i="12"/>
  <c r="B15" i="12"/>
  <c r="K22" i="12"/>
  <c r="I10" i="12"/>
  <c r="I12" i="12"/>
  <c r="C22" i="12"/>
  <c r="D22" i="12" s="1"/>
  <c r="E17" i="12"/>
  <c r="F17" i="12" s="1"/>
  <c r="E9" i="12"/>
  <c r="F9" i="12" s="1"/>
  <c r="J16" i="12"/>
  <c r="B22" i="12"/>
  <c r="E13" i="12"/>
  <c r="F13" i="12" s="1"/>
  <c r="I8" i="12"/>
  <c r="K11" i="12"/>
  <c r="L11" i="12"/>
  <c r="L22" i="12"/>
  <c r="I18" i="12"/>
  <c r="I20" i="12"/>
  <c r="I19" i="12"/>
  <c r="L15" i="12"/>
  <c r="K20" i="12"/>
  <c r="L21" i="12"/>
  <c r="C16" i="12"/>
  <c r="D16" i="12" s="1"/>
  <c r="B18" i="12"/>
  <c r="C21" i="12"/>
  <c r="D21" i="12" s="1"/>
  <c r="L10" i="12"/>
  <c r="K13" i="12"/>
  <c r="G18" i="12"/>
  <c r="M18" i="12" s="1"/>
  <c r="C12" i="12"/>
  <c r="D12" i="12" s="1"/>
  <c r="E16" i="12"/>
  <c r="F16" i="12" s="1"/>
  <c r="C11" i="12"/>
  <c r="D11" i="12" s="1"/>
  <c r="K8" i="12"/>
  <c r="L14" i="12"/>
  <c r="L9" i="12"/>
  <c r="G19" i="12"/>
  <c r="H19" i="12" s="1"/>
  <c r="C14" i="12"/>
  <c r="D14" i="12" s="1"/>
  <c r="L20" i="12"/>
  <c r="L18" i="12"/>
  <c r="C20" i="12"/>
  <c r="D20" i="12" s="1"/>
  <c r="J12" i="12"/>
  <c r="G22" i="12"/>
  <c r="H22" i="12" s="1"/>
  <c r="E11" i="12"/>
  <c r="F11" i="12" s="1"/>
  <c r="J8" i="12"/>
  <c r="B21" i="12"/>
  <c r="K14" i="12"/>
  <c r="J18" i="12"/>
  <c r="K16" i="12"/>
  <c r="I21" i="12"/>
  <c r="J15" i="12"/>
  <c r="B20" i="12"/>
  <c r="B8" i="12"/>
  <c r="B50" i="8" s="1"/>
  <c r="J17" i="12"/>
  <c r="C18" i="12"/>
  <c r="D18" i="12" s="1"/>
  <c r="G21" i="12"/>
  <c r="M21" i="12" s="1"/>
  <c r="J14" i="12"/>
  <c r="B16" i="12"/>
  <c r="K21" i="12"/>
  <c r="J9" i="12"/>
  <c r="B12" i="12"/>
  <c r="E12" i="12"/>
  <c r="F12" i="12" s="1"/>
  <c r="C10" i="12"/>
  <c r="D10" i="12" s="1"/>
  <c r="I17" i="12"/>
  <c r="C17" i="12"/>
  <c r="D17" i="12" s="1"/>
  <c r="K15" i="12"/>
  <c r="E19" i="12"/>
  <c r="F19" i="12" s="1"/>
  <c r="K10" i="12"/>
  <c r="L13" i="12"/>
  <c r="E18" i="12"/>
  <c r="F18" i="12" s="1"/>
  <c r="B9" i="12"/>
  <c r="K9" i="12"/>
  <c r="E20" i="12"/>
  <c r="F20" i="12" s="1"/>
  <c r="G14" i="12"/>
  <c r="M14" i="12" s="1"/>
  <c r="E22" i="12"/>
  <c r="F22" i="12" s="1"/>
  <c r="J22" i="12"/>
  <c r="L16" i="12"/>
  <c r="J10" i="12"/>
  <c r="C9" i="12"/>
  <c r="D9" i="12" s="1"/>
  <c r="E15" i="12"/>
  <c r="F15" i="12" s="1"/>
  <c r="I13" i="12"/>
  <c r="E14" i="12"/>
  <c r="F14" i="12" s="1"/>
  <c r="E21" i="12"/>
  <c r="F21" i="12" s="1"/>
  <c r="K17" i="12"/>
  <c r="L8" i="12"/>
  <c r="I14" i="12"/>
  <c r="C15" i="12"/>
  <c r="D15" i="12" s="1"/>
  <c r="I15" i="12"/>
  <c r="J13" i="12"/>
  <c r="G17" i="12"/>
  <c r="H17" i="12" s="1"/>
  <c r="J20" i="12"/>
  <c r="I22" i="12"/>
  <c r="B14" i="12"/>
  <c r="J21" i="12"/>
  <c r="G11" i="12"/>
  <c r="M11" i="12" s="1"/>
  <c r="G9" i="12"/>
  <c r="G15" i="12"/>
  <c r="H15" i="12" s="1"/>
  <c r="E8" i="12"/>
  <c r="F8" i="12" s="1"/>
  <c r="G10" i="12"/>
  <c r="M10" i="12" s="1"/>
  <c r="K18" i="12"/>
  <c r="G8" i="12"/>
  <c r="B11" i="12"/>
  <c r="G16" i="12"/>
  <c r="L12" i="12"/>
  <c r="C8" i="12"/>
  <c r="D8" i="12" s="1"/>
  <c r="E10" i="12"/>
  <c r="F10" i="12" s="1"/>
  <c r="B19" i="12"/>
  <c r="H13" i="12" l="1"/>
  <c r="M19" i="12"/>
  <c r="M20" i="12"/>
  <c r="H9" i="12"/>
  <c r="H12" i="12"/>
  <c r="M12" i="12"/>
  <c r="H18" i="12"/>
  <c r="C1" i="19"/>
  <c r="M15" i="12"/>
  <c r="M13" i="12"/>
  <c r="M9" i="12"/>
  <c r="E48" i="8" s="1"/>
  <c r="H21" i="12"/>
  <c r="H11" i="12"/>
  <c r="H14" i="12"/>
  <c r="M17" i="12"/>
  <c r="M22" i="12"/>
  <c r="D53" i="8"/>
  <c r="H10" i="12"/>
  <c r="H16" i="12"/>
  <c r="M16" i="12"/>
  <c r="M8" i="12"/>
  <c r="H8" i="12"/>
</calcChain>
</file>

<file path=xl/sharedStrings.xml><?xml version="1.0" encoding="utf-8"?>
<sst xmlns="http://schemas.openxmlformats.org/spreadsheetml/2006/main" count="1029" uniqueCount="369">
  <si>
    <t>B1000/2-2</t>
  </si>
  <si>
    <t>débit continu 10°C - 60°C</t>
  </si>
  <si>
    <t>B800/2-2</t>
  </si>
  <si>
    <t>Quadro 750 CL</t>
  </si>
  <si>
    <t>-</t>
  </si>
  <si>
    <t>kW</t>
  </si>
  <si>
    <t>%</t>
  </si>
  <si>
    <t>°C</t>
  </si>
  <si>
    <t>T°Primaire</t>
  </si>
  <si>
    <t>Capacité</t>
  </si>
  <si>
    <t>litres</t>
  </si>
  <si>
    <t>P échange</t>
  </si>
  <si>
    <t>Solution</t>
  </si>
  <si>
    <r>
      <t>Δ</t>
    </r>
    <r>
      <rPr>
        <sz val="10"/>
        <rFont val="Arial"/>
        <family val="2"/>
      </rPr>
      <t>C</t>
    </r>
  </si>
  <si>
    <t>Puissance</t>
  </si>
  <si>
    <t>ΔP</t>
  </si>
  <si>
    <t>Débit Primaire</t>
  </si>
  <si>
    <t>T°d - T°r</t>
  </si>
  <si>
    <t>De Dietrich</t>
  </si>
  <si>
    <t>m3/h</t>
  </si>
  <si>
    <t>Type</t>
  </si>
  <si>
    <t>qv Primaire</t>
  </si>
  <si>
    <t>T° primaire</t>
  </si>
  <si>
    <t>T° ECS</t>
  </si>
  <si>
    <t>P échangée</t>
  </si>
  <si>
    <t>Prix</t>
  </si>
  <si>
    <t>Hors Gamme</t>
  </si>
  <si>
    <t>perte de charge (mbar)</t>
  </si>
  <si>
    <t>pdc</t>
  </si>
  <si>
    <t>Dc 10-60</t>
  </si>
  <si>
    <t>perte de charge (kPa)</t>
  </si>
  <si>
    <t>choix</t>
  </si>
  <si>
    <t>kpa</t>
  </si>
  <si>
    <t>dc 10-60 (m3/h)</t>
  </si>
  <si>
    <t>prix</t>
  </si>
  <si>
    <t>€ H.T.</t>
  </si>
  <si>
    <t xml:space="preserve">Type de bâtiment : </t>
  </si>
  <si>
    <t>Hôtellerie</t>
  </si>
  <si>
    <t>EPHAD</t>
  </si>
  <si>
    <t>Hôpitaux</t>
  </si>
  <si>
    <t>Internat</t>
  </si>
  <si>
    <t>Camping</t>
  </si>
  <si>
    <t>Usine</t>
  </si>
  <si>
    <t>Etablissement sportif</t>
  </si>
  <si>
    <t>T1</t>
  </si>
  <si>
    <t>T2</t>
  </si>
  <si>
    <t>T3</t>
  </si>
  <si>
    <t>T4</t>
  </si>
  <si>
    <t>T5</t>
  </si>
  <si>
    <t>T6</t>
  </si>
  <si>
    <t>2*</t>
  </si>
  <si>
    <t>3*</t>
  </si>
  <si>
    <t>4*</t>
  </si>
  <si>
    <t>Equipement</t>
  </si>
  <si>
    <t>Baignoire et Douche</t>
  </si>
  <si>
    <t>2 Baignoires</t>
  </si>
  <si>
    <t>Collectif</t>
  </si>
  <si>
    <t>Nombre de logements standards</t>
  </si>
  <si>
    <t>Douche</t>
  </si>
  <si>
    <t>Baignoire</t>
  </si>
  <si>
    <t>Nombre</t>
  </si>
  <si>
    <t>Equivalent lgt Standard</t>
  </si>
  <si>
    <t>Coefficient</t>
  </si>
  <si>
    <t xml:space="preserve">Equipement ligne 1 </t>
  </si>
  <si>
    <t>Equipement ligne 2</t>
  </si>
  <si>
    <t>Equivalent</t>
  </si>
  <si>
    <t>Equipement ligne 3</t>
  </si>
  <si>
    <t>Equipement ligne 4</t>
  </si>
  <si>
    <t>Equipement ligne 5</t>
  </si>
  <si>
    <t>Equipement ligne 6</t>
  </si>
  <si>
    <t>Somme logement équivalents</t>
  </si>
  <si>
    <t xml:space="preserve">Logement Standard </t>
  </si>
  <si>
    <t>L/jour</t>
  </si>
  <si>
    <t xml:space="preserve">Logement standard </t>
  </si>
  <si>
    <t>l/j</t>
  </si>
  <si>
    <t>Demi-pension</t>
  </si>
  <si>
    <t>Non</t>
  </si>
  <si>
    <t xml:space="preserve">1 chambre égale : </t>
  </si>
  <si>
    <t>logement standard</t>
  </si>
  <si>
    <t>Sans</t>
  </si>
  <si>
    <t xml:space="preserve"> 0 étoile</t>
  </si>
  <si>
    <t xml:space="preserve"> 1 étoile</t>
  </si>
  <si>
    <t xml:space="preserve"> 2 étoiles</t>
  </si>
  <si>
    <t xml:space="preserve"> 3 étoiles</t>
  </si>
  <si>
    <t xml:space="preserve"> 4 étoiles</t>
  </si>
  <si>
    <t xml:space="preserve"> 5 étoiles</t>
  </si>
  <si>
    <t>Conso</t>
  </si>
  <si>
    <t>Oui</t>
  </si>
  <si>
    <t xml:space="preserve">Avec </t>
  </si>
  <si>
    <t>Points de puisage :</t>
  </si>
  <si>
    <t>Restauration</t>
  </si>
  <si>
    <t>L</t>
  </si>
  <si>
    <t xml:space="preserve">Nombre utilisateurs </t>
  </si>
  <si>
    <t>Nombre de couverts maxi midi</t>
  </si>
  <si>
    <t>Nombre de couverts maxi soir</t>
  </si>
  <si>
    <t>pw</t>
  </si>
  <si>
    <t>cw</t>
  </si>
  <si>
    <t>Tecs</t>
  </si>
  <si>
    <t xml:space="preserve">Température ECS </t>
  </si>
  <si>
    <t>Tef</t>
  </si>
  <si>
    <t xml:space="preserve">Puissance semi-instantanée: </t>
  </si>
  <si>
    <t>Pri semi insta</t>
  </si>
  <si>
    <t xml:space="preserve">Puissance semi-accumulée : </t>
  </si>
  <si>
    <t xml:space="preserve">Puissance accumulée : </t>
  </si>
  <si>
    <t>Pri accu</t>
  </si>
  <si>
    <t>Vstockage</t>
  </si>
  <si>
    <t>Pri semi accu</t>
  </si>
  <si>
    <t>Prs</t>
  </si>
  <si>
    <t>Trechauffage</t>
  </si>
  <si>
    <t>Max(Pri;Prs)</t>
  </si>
  <si>
    <t>Chambre</t>
  </si>
  <si>
    <t xml:space="preserve">1 emplacement égal : </t>
  </si>
  <si>
    <t>Equivalent MLS</t>
  </si>
  <si>
    <t>Temperature ECS</t>
  </si>
  <si>
    <t>Standard</t>
  </si>
  <si>
    <t>Luxe</t>
  </si>
  <si>
    <t>Rapide</t>
  </si>
  <si>
    <t>Collective</t>
  </si>
  <si>
    <t>Remplir les nombres de couverts</t>
  </si>
  <si>
    <t>Etablissement Sportif</t>
  </si>
  <si>
    <t>Douche avec bouton poussoir</t>
  </si>
  <si>
    <t>Nombre d'utilisateurs</t>
  </si>
  <si>
    <t>Nombre d'utilisateurs/points de puisage</t>
  </si>
  <si>
    <t>Température Primaire</t>
  </si>
  <si>
    <t>Température primaire</t>
  </si>
  <si>
    <t>FWM 50-170</t>
  </si>
  <si>
    <t>FWM 70-240</t>
  </si>
  <si>
    <t>FWS 750</t>
  </si>
  <si>
    <t>2 FWM 70-240</t>
  </si>
  <si>
    <t>2 FWM 50-170</t>
  </si>
  <si>
    <t>FWS 1500</t>
  </si>
  <si>
    <t xml:space="preserve">Type </t>
  </si>
  <si>
    <t>Pertes</t>
  </si>
  <si>
    <t>PS 600</t>
  </si>
  <si>
    <t>PS 800</t>
  </si>
  <si>
    <t>PS 1000</t>
  </si>
  <si>
    <t>PS 1500</t>
  </si>
  <si>
    <t>PS 2000</t>
  </si>
  <si>
    <t>PS 2500</t>
  </si>
  <si>
    <t>PS 3000</t>
  </si>
  <si>
    <t>Contenance mini</t>
  </si>
  <si>
    <t xml:space="preserve">Proposée </t>
  </si>
  <si>
    <t>Manuelle</t>
  </si>
  <si>
    <t>Calcul GRDF</t>
  </si>
  <si>
    <t>Phr</t>
  </si>
  <si>
    <t>Tamb</t>
  </si>
  <si>
    <t>W/k</t>
  </si>
  <si>
    <t>Finale</t>
  </si>
  <si>
    <t xml:space="preserve">Modèle : </t>
  </si>
  <si>
    <t xml:space="preserve">Puissance : </t>
  </si>
  <si>
    <t xml:space="preserve">Volume Stockage Ballon: </t>
  </si>
  <si>
    <t xml:space="preserve">Projet : </t>
  </si>
  <si>
    <t>Accumulée</t>
  </si>
  <si>
    <t xml:space="preserve">Volume Stockage : </t>
  </si>
  <si>
    <t xml:space="preserve">Equipement : </t>
  </si>
  <si>
    <t xml:space="preserve">Instantanée : </t>
  </si>
  <si>
    <t>…</t>
  </si>
  <si>
    <t>Avec</t>
  </si>
  <si>
    <t>60°</t>
  </si>
  <si>
    <t>55°</t>
  </si>
  <si>
    <t xml:space="preserve">Puissance serpentin max : </t>
  </si>
  <si>
    <t>Semi-accu</t>
  </si>
  <si>
    <t>P générateur</t>
  </si>
  <si>
    <t xml:space="preserve">Manuel : </t>
  </si>
  <si>
    <t>Solution instantanée : Volume tampon primaire</t>
  </si>
  <si>
    <t>Solution semi instantanée : Volume stockage</t>
  </si>
  <si>
    <t>Solution semi accumulée : Volume Stockage</t>
  </si>
  <si>
    <t>Solution accumulée : volume stockage</t>
  </si>
  <si>
    <t>Attention V&lt;Qmax</t>
  </si>
  <si>
    <t>Qmax&lt;V&lt;Qph</t>
  </si>
  <si>
    <t>V&gt;Qj</t>
  </si>
  <si>
    <t>V&gt;Qmax pour diminution puissance</t>
  </si>
  <si>
    <t>Utilisateur</t>
  </si>
  <si>
    <t>Données ECS :</t>
  </si>
  <si>
    <t>Solution INSTANTANEE</t>
  </si>
  <si>
    <t xml:space="preserve">Solution SEMI-INSTANTANEE </t>
  </si>
  <si>
    <t>Solution SEMI-ACCUMULEE</t>
  </si>
  <si>
    <t>Solution ACCUMULEE</t>
  </si>
  <si>
    <t>Nature du Projet</t>
  </si>
  <si>
    <t xml:space="preserve">Configuration : </t>
  </si>
  <si>
    <t>Chambre + Repas</t>
  </si>
  <si>
    <t>Lit + Repas</t>
  </si>
  <si>
    <t xml:space="preserve">Renseignements sur le projet : </t>
  </si>
  <si>
    <t xml:space="preserve">Choix de la Nature du Projet : </t>
  </si>
  <si>
    <t xml:space="preserve">Exemple : </t>
  </si>
  <si>
    <t xml:space="preserve">Choix du nombre de Lits / Occupants … </t>
  </si>
  <si>
    <t xml:space="preserve">Exempe : </t>
  </si>
  <si>
    <t>lits</t>
  </si>
  <si>
    <t>Choix de la température primaire entre 80-70°C</t>
  </si>
  <si>
    <t>Choix de la température d'ECS entre 60-55°C</t>
  </si>
  <si>
    <t xml:space="preserve">Données ECS : </t>
  </si>
  <si>
    <t xml:space="preserve">Contient des informations sur le projet : </t>
  </si>
  <si>
    <t>Qj représente la consommation journalière</t>
  </si>
  <si>
    <t>N et S sont utilisés pour la méthode des logements standards</t>
  </si>
  <si>
    <t>Qmax représente la consommation en période de pointe maximale (Tmax = 10mn)</t>
  </si>
  <si>
    <t>Qph représente 75% de la consommation totale, puisée en Tph (heures)</t>
  </si>
  <si>
    <t>Nombre de pommeaux de douche :</t>
  </si>
  <si>
    <t xml:space="preserve">Solutions </t>
  </si>
  <si>
    <t xml:space="preserve">Semi-Instantanée : </t>
  </si>
  <si>
    <t>Dans le cas où aucune solution n'est disponible avec un volume de stockage inférieur à Qmax, un message le signale et propose de passer aux solutions semi-accumulées . Sinon , une solution de base est proposée en rouge, et peut être modifiée sur le menu déroulant.</t>
  </si>
  <si>
    <t xml:space="preserve">Attention, à chaque modification du projet (configurations, nombre de chambres…) il faut effectuer de nouveau un choix. </t>
  </si>
  <si>
    <t xml:space="preserve">Semi-accumulée : </t>
  </si>
  <si>
    <t>Pas de stockage secondaire</t>
  </si>
  <si>
    <t>Stockage secondaire inférieur à Qmax</t>
  </si>
  <si>
    <t>Stockage secondaire compris entre Qmax et Qph</t>
  </si>
  <si>
    <t>Une solution de base est proposée en rouge, et peut être modifiée sur le menu déroulant.</t>
  </si>
  <si>
    <t xml:space="preserve">Accumulée : </t>
  </si>
  <si>
    <t>Stockage secondaire supérieur ou égal à Qj</t>
  </si>
  <si>
    <r>
      <t xml:space="preserve">Choix de la configuration : </t>
    </r>
    <r>
      <rPr>
        <sz val="12"/>
        <color rgb="FFFF0000"/>
        <rFont val="Arial"/>
        <family val="2"/>
      </rPr>
      <t>Attention, à chaque changement de "Nature de Projet" il faut changer aussi le Choix de configuration.</t>
    </r>
  </si>
  <si>
    <t>Utilisation du Tool ECS Collective : Important, à lire avant utilisation</t>
  </si>
  <si>
    <t xml:space="preserve">Simultanéité (S) : </t>
  </si>
  <si>
    <t>Equivalents Logements Standards (N) :</t>
  </si>
  <si>
    <t>Tmax (h)</t>
  </si>
  <si>
    <t>Tph (h)</t>
  </si>
  <si>
    <t xml:space="preserve">Puissance instantanée calculée (kW) : </t>
  </si>
  <si>
    <t xml:space="preserve">Puissance génrérateur ECS à installer (kW) : </t>
  </si>
  <si>
    <t xml:space="preserve">Cellule prescription uniquement </t>
  </si>
  <si>
    <t>ECS collective et tertiaire</t>
  </si>
  <si>
    <t>Affichage demi pension</t>
  </si>
  <si>
    <t>Affichage nombre couvert/campeurs</t>
  </si>
  <si>
    <t>Affichage ligne 2</t>
  </si>
  <si>
    <t>Affichage ligne 3</t>
  </si>
  <si>
    <t>Affichage ligne 4</t>
  </si>
  <si>
    <t>Affichage ligne 5</t>
  </si>
  <si>
    <t>Affichage ligne 6</t>
  </si>
  <si>
    <t>Pommeaux de douche</t>
  </si>
  <si>
    <t>Ligne équipement</t>
  </si>
  <si>
    <t>1 = afficher / 0=masquer</t>
  </si>
  <si>
    <t>TOOL DEBRIDE SPECIAL PRECO DDTH</t>
  </si>
  <si>
    <t>Inférieur à</t>
  </si>
  <si>
    <t>compris entre</t>
  </si>
  <si>
    <t xml:space="preserve">et </t>
  </si>
  <si>
    <t>V&lt;Qph</t>
  </si>
  <si>
    <t>Volume stockage</t>
  </si>
  <si>
    <t>Attention, le volume de stockage manuel ne doit pas etre supérieur à :</t>
  </si>
  <si>
    <t xml:space="preserve">Attention,le volume de stockage doit être supérieur à </t>
  </si>
  <si>
    <t>Puissance réchauffage ballon accumulé (kW) :</t>
  </si>
  <si>
    <t>FWS</t>
  </si>
  <si>
    <t>Echangeur</t>
  </si>
  <si>
    <t>Choix</t>
  </si>
  <si>
    <t>Typologie de logement</t>
  </si>
  <si>
    <t>Equivalent logement standard</t>
  </si>
  <si>
    <t>Studio (avec une douche)</t>
  </si>
  <si>
    <t>0.6 logement standard</t>
  </si>
  <si>
    <t>T2 (avec une douche)</t>
  </si>
  <si>
    <t>T2 (avec une baignoire)</t>
  </si>
  <si>
    <t>0.9 logement standard</t>
  </si>
  <si>
    <t>T3 (avec un évier, un lavabo et une baignoire)</t>
  </si>
  <si>
    <t>1 logement standard</t>
  </si>
  <si>
    <t>T3 (avec une douche et une baignoire)</t>
  </si>
  <si>
    <t>1.3 logements standards</t>
  </si>
  <si>
    <t>T4 (avec une baignoire)</t>
  </si>
  <si>
    <t>T4 (avec une baignoire et une douche)</t>
  </si>
  <si>
    <t>T5/T6 (avec une baignoire)</t>
  </si>
  <si>
    <t>1.2 logements standards</t>
  </si>
  <si>
    <t>T5/T6 (avec une baignoire et une douche)</t>
  </si>
  <si>
    <t>T5/T6 (avec deux baignoires)</t>
  </si>
  <si>
    <t>1.5 logements standards</t>
  </si>
  <si>
    <t>Hôtellerie : Besoins d’ECS en l/jour à 60°C</t>
  </si>
  <si>
    <t>Classe hôtel</t>
  </si>
  <si>
    <t>0 *</t>
  </si>
  <si>
    <t>*</t>
  </si>
  <si>
    <t>**</t>
  </si>
  <si>
    <t>***</t>
  </si>
  <si>
    <t>****</t>
  </si>
  <si>
    <t>*****</t>
  </si>
  <si>
    <t>Repas</t>
  </si>
  <si>
    <t>Petit-déjeuner</t>
  </si>
  <si>
    <t>EPHAD : Besoins d’ECS en l/jour à 60°C</t>
  </si>
  <si>
    <t>Lit</t>
  </si>
  <si>
    <t>Internat : Besoins d’ECS en l/jour à 60°C</t>
  </si>
  <si>
    <t>Hôpitaux : Besoins d’ECS en l/jour à 60°C</t>
  </si>
  <si>
    <t xml:space="preserve">Hypothèses : </t>
  </si>
  <si>
    <t>MLS (méthode des logements standards)</t>
  </si>
  <si>
    <t>avec 120 L/J d'ECS à 60°C pour un logement standard</t>
  </si>
  <si>
    <t>Limites des TPH et S pour les différents bâtiments (par rapport à la méthode GRDF)</t>
  </si>
  <si>
    <t xml:space="preserve">Consommations pour les différents types de bâtiments : </t>
  </si>
  <si>
    <t xml:space="preserve">Méthode de calcul : </t>
  </si>
  <si>
    <t xml:space="preserve">Consommation journalière : </t>
  </si>
  <si>
    <t xml:space="preserve">Simultanéité : </t>
  </si>
  <si>
    <t xml:space="preserve">Pointe pluri-horaire : </t>
  </si>
  <si>
    <t xml:space="preserve">Temps pluri-horaire : </t>
  </si>
  <si>
    <t xml:space="preserve">Pointe maximale : </t>
  </si>
  <si>
    <t xml:space="preserve">Temps de pointe maximale (10mn) : </t>
  </si>
  <si>
    <t xml:space="preserve">Pointe max dans les cas particuliers : </t>
  </si>
  <si>
    <t xml:space="preserve">Solution instantanée : </t>
  </si>
  <si>
    <t xml:space="preserve">Solution semi-instantanée : </t>
  </si>
  <si>
    <t>Puissance générateur, si Vstockage&gt;Qmax:</t>
  </si>
  <si>
    <t xml:space="preserve">Solution semi-accumulée : </t>
  </si>
  <si>
    <t xml:space="preserve">Solution accumulée : </t>
  </si>
  <si>
    <t xml:space="preserve">Réchauffage du ballon : </t>
  </si>
  <si>
    <t>Cette valeur est ajoutée aux Puissances accumulées et semi-accumulées, pour assurer la chauffe du ballon pendant la nuit / une période de non demande de 7h.</t>
  </si>
  <si>
    <t xml:space="preserve">Tréchauffage = 7h </t>
  </si>
  <si>
    <t>Qmax (L/10mn)</t>
  </si>
  <si>
    <t>Qj (L/j)</t>
  </si>
  <si>
    <t>Qph (L/Tph)</t>
  </si>
  <si>
    <t>Qj</t>
  </si>
  <si>
    <t>Qmax</t>
  </si>
  <si>
    <t>Qph</t>
  </si>
  <si>
    <t>Tph</t>
  </si>
  <si>
    <t>L/j</t>
  </si>
  <si>
    <t>L/10mn</t>
  </si>
  <si>
    <t>L/Tph</t>
  </si>
  <si>
    <t>h</t>
  </si>
  <si>
    <t>Validation</t>
  </si>
  <si>
    <t xml:space="preserve">Date </t>
  </si>
  <si>
    <t>Nom</t>
  </si>
  <si>
    <t>Modifications</t>
  </si>
  <si>
    <t>Colin Weinling</t>
  </si>
  <si>
    <t>Changement Qmax Restauration : Passage de Conso*Max repas à Conso*Max repas /6 pour avoir la conso sur 10mn ==&gt; différence entre Qmax et Qph</t>
  </si>
  <si>
    <t xml:space="preserve">Version du Tool </t>
  </si>
  <si>
    <t>01-2017_preco_ind01</t>
  </si>
  <si>
    <t>02-2017_preco_ind02</t>
  </si>
  <si>
    <t>Puissance Bouclage</t>
  </si>
  <si>
    <t>Alexandre DIEBOLD</t>
  </si>
  <si>
    <t>10-2017_preco_ind01</t>
  </si>
  <si>
    <t>Ajout de la puissance de bouclage pour autre que instantanné / Surpuissance de 1,2 pour sécurité / Correction volume Ballon BSL et BPB</t>
  </si>
  <si>
    <t>Les résultats de cette feuille de calcul sont donnés à titre indicatif, La responsabilité de Oertli ne peut en aucun cas être engagée.</t>
  </si>
  <si>
    <t xml:space="preserve">Oertli propose un stockage primaire dans le cas de la mise en place d'un échangeur à plaque, afin de diminuer la puissance du générateur. Il sera cependant impossible de diminuer la puissance du générateur de plus de 50%. </t>
  </si>
  <si>
    <t xml:space="preserve">En rouge, la proposition de base fournie par Oertli, qui peut cependant être modifié avec l'aide du menu déroulant (affichant "…" de base.) </t>
  </si>
  <si>
    <t>OBLC 150</t>
  </si>
  <si>
    <t>OBLC 200</t>
  </si>
  <si>
    <t>OBLC 300</t>
  </si>
  <si>
    <t>OBLC 400</t>
  </si>
  <si>
    <t>OBLC 500</t>
  </si>
  <si>
    <t>3 - OBLC 400</t>
  </si>
  <si>
    <t>3 - OBLC 500</t>
  </si>
  <si>
    <t>OBPB 150</t>
  </si>
  <si>
    <t>OBPB 200</t>
  </si>
  <si>
    <t>OBPB 300</t>
  </si>
  <si>
    <t>OBPB 400</t>
  </si>
  <si>
    <t>OBPB 500</t>
  </si>
  <si>
    <t>3 - OBPB 300</t>
  </si>
  <si>
    <t>3 - OBPB 400</t>
  </si>
  <si>
    <t>3 - OBPB 500</t>
  </si>
  <si>
    <t>OB 650</t>
  </si>
  <si>
    <t>OB 800</t>
  </si>
  <si>
    <t>OB 1000</t>
  </si>
  <si>
    <t>2 - OB 650</t>
  </si>
  <si>
    <t>OB 1500</t>
  </si>
  <si>
    <t>2 - OB 800</t>
  </si>
  <si>
    <t>3 - OB 650</t>
  </si>
  <si>
    <t>OB 2000</t>
  </si>
  <si>
    <t>2 - OB 1000</t>
  </si>
  <si>
    <t>OB 2500</t>
  </si>
  <si>
    <t>2 - OB 1500</t>
  </si>
  <si>
    <t>OB 3000</t>
  </si>
  <si>
    <t>2 - OB 2000</t>
  </si>
  <si>
    <t>2 - OB 2500</t>
  </si>
  <si>
    <t>2 - OB 3000</t>
  </si>
  <si>
    <t>2 préparateurs OB 3000 raccordés en parallèle</t>
  </si>
  <si>
    <t>1 préparateur OB 650</t>
  </si>
  <si>
    <t>1 préparateur OB 800</t>
  </si>
  <si>
    <t>1 préparateur OB 1000</t>
  </si>
  <si>
    <t>2 préparateurs OB 650</t>
  </si>
  <si>
    <t>2 préparateurs OB 800 raccordés en parallèle</t>
  </si>
  <si>
    <t>3 préparateurs OB 650</t>
  </si>
  <si>
    <t>2 préparateurs OB 1000 raccordés en parallèle</t>
  </si>
  <si>
    <t>2 préparateurs OB 1500 raccordés en parallèle</t>
  </si>
  <si>
    <t>2 préparateurs OB 2000 raccordés en parallèle</t>
  </si>
  <si>
    <t>2 préparateurs OB 2500 raccordés en parallèle</t>
  </si>
  <si>
    <t>2 - OBPB 300</t>
  </si>
  <si>
    <t>2 - OBPB 400</t>
  </si>
  <si>
    <t>2 - OBPB 500</t>
  </si>
  <si>
    <t>2 - OBLC 300</t>
  </si>
  <si>
    <t>2 - OBLC 400</t>
  </si>
  <si>
    <t>2 - OBLC 500</t>
  </si>
  <si>
    <r>
      <rPr>
        <b/>
        <sz val="8"/>
        <color theme="3" tint="0.39997558519241921"/>
        <rFont val="Arial"/>
        <family val="2"/>
      </rPr>
      <t>Attention</t>
    </r>
    <r>
      <rPr>
        <sz val="8"/>
        <color theme="3" tint="0.39997558519241921"/>
        <rFont val="Arial"/>
        <family val="2"/>
      </rPr>
      <t>: le bouclage sanitaire - si présent - est à prendre en compte dans la case ci-dessous.</t>
    </r>
  </si>
  <si>
    <t>La puissance de bouclage renseignée n'est en aucun  cas sous la responsabilité de Oertli.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</si>
</sst>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[$€-1]_-;\-* #,##0.00\ [$€-1]_-;_-* &quot;-&quot;??\ [$€-1]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8"/>
      <color rgb="FFFF0000"/>
      <name val="Arial"/>
      <family val="2"/>
    </font>
    <font>
      <sz val="8"/>
      <color theme="1"/>
      <name val="Arial"/>
      <family val="2"/>
    </font>
    <font>
      <b/>
      <u/>
      <sz val="14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8"/>
      <color theme="5" tint="0.59999389629810485"/>
      <name val="Arial"/>
      <family val="2"/>
    </font>
    <font>
      <sz val="8"/>
      <color theme="5" tint="0.39997558519241921"/>
      <name val="Arial"/>
      <family val="2"/>
    </font>
    <font>
      <sz val="12"/>
      <color theme="5" tint="0.3999755851924192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8"/>
      <color theme="5" tint="0.3999755851924192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3"/>
      <color rgb="FF4F81BD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sz val="22"/>
      <color rgb="FFFF0000"/>
      <name val="Arial"/>
      <family val="2"/>
    </font>
    <font>
      <sz val="8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u/>
      <sz val="9"/>
      <color theme="3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80">
    <xf numFmtId="0" fontId="0" fillId="0" borderId="0" xfId="0"/>
    <xf numFmtId="0" fontId="3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9" fontId="0" fillId="0" borderId="0" xfId="3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3" borderId="0" xfId="0" applyNumberFormat="1" applyFill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/>
    <xf numFmtId="0" fontId="0" fillId="7" borderId="0" xfId="0" applyFill="1"/>
    <xf numFmtId="164" fontId="0" fillId="7" borderId="1" xfId="0" applyNumberFormat="1" applyFill="1" applyBorder="1"/>
    <xf numFmtId="0" fontId="0" fillId="7" borderId="2" xfId="0" applyFill="1" applyBorder="1"/>
    <xf numFmtId="164" fontId="0" fillId="7" borderId="3" xfId="0" applyNumberFormat="1" applyFill="1" applyBorder="1"/>
    <xf numFmtId="0" fontId="0" fillId="7" borderId="4" xfId="0" applyFill="1" applyBorder="1"/>
    <xf numFmtId="0" fontId="0" fillId="7" borderId="5" xfId="0" applyFill="1" applyBorder="1"/>
    <xf numFmtId="164" fontId="0" fillId="8" borderId="3" xfId="0" applyNumberFormat="1" applyFill="1" applyBorder="1"/>
    <xf numFmtId="0" fontId="0" fillId="8" borderId="3" xfId="0" applyFill="1" applyBorder="1"/>
    <xf numFmtId="0" fontId="0" fillId="8" borderId="6" xfId="0" applyFill="1" applyBorder="1"/>
    <xf numFmtId="0" fontId="0" fillId="8" borderId="7" xfId="0" applyFill="1" applyBorder="1"/>
    <xf numFmtId="164" fontId="0" fillId="8" borderId="8" xfId="0" applyNumberFormat="1" applyFill="1" applyBorder="1"/>
    <xf numFmtId="0" fontId="0" fillId="6" borderId="4" xfId="0" applyFill="1" applyBorder="1"/>
    <xf numFmtId="0" fontId="0" fillId="3" borderId="9" xfId="0" applyFill="1" applyBorder="1"/>
    <xf numFmtId="164" fontId="0" fillId="8" borderId="1" xfId="0" applyNumberFormat="1" applyFill="1" applyBorder="1"/>
    <xf numFmtId="0" fontId="0" fillId="8" borderId="10" xfId="0" applyFill="1" applyBorder="1"/>
    <xf numFmtId="0" fontId="0" fillId="0" borderId="11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17" xfId="0" applyFill="1" applyBorder="1"/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4" fillId="0" borderId="0" xfId="0" applyFont="1"/>
    <xf numFmtId="0" fontId="0" fillId="0" borderId="15" xfId="0" applyBorder="1" applyAlignment="1">
      <alignment horizontal="center"/>
    </xf>
    <xf numFmtId="0" fontId="4" fillId="0" borderId="11" xfId="0" applyFont="1" applyBorder="1"/>
    <xf numFmtId="1" fontId="4" fillId="0" borderId="0" xfId="0" applyNumberFormat="1" applyFont="1"/>
    <xf numFmtId="0" fontId="4" fillId="0" borderId="1" xfId="0" applyFont="1" applyBorder="1"/>
    <xf numFmtId="0" fontId="4" fillId="0" borderId="3" xfId="0" applyFont="1" applyFill="1" applyBorder="1"/>
    <xf numFmtId="0" fontId="4" fillId="0" borderId="22" xfId="0" applyFont="1" applyBorder="1"/>
    <xf numFmtId="0" fontId="4" fillId="0" borderId="2" xfId="0" applyFont="1" applyBorder="1"/>
    <xf numFmtId="0" fontId="4" fillId="0" borderId="11" xfId="0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4" fillId="0" borderId="0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8" xfId="0" applyFont="1" applyFill="1" applyBorder="1"/>
    <xf numFmtId="0" fontId="0" fillId="9" borderId="0" xfId="0" applyFill="1" applyBorder="1"/>
    <xf numFmtId="0" fontId="0" fillId="9" borderId="21" xfId="0" applyFill="1" applyBorder="1"/>
    <xf numFmtId="0" fontId="0" fillId="9" borderId="5" xfId="0" applyFill="1" applyBorder="1"/>
    <xf numFmtId="0" fontId="4" fillId="9" borderId="0" xfId="0" applyFont="1" applyFill="1" applyBorder="1"/>
    <xf numFmtId="0" fontId="0" fillId="9" borderId="4" xfId="0" applyFill="1" applyBorder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8" fillId="0" borderId="0" xfId="0" applyFont="1"/>
    <xf numFmtId="0" fontId="0" fillId="7" borderId="11" xfId="0" applyFill="1" applyBorder="1"/>
    <xf numFmtId="0" fontId="0" fillId="9" borderId="11" xfId="0" applyFill="1" applyBorder="1"/>
    <xf numFmtId="0" fontId="0" fillId="0" borderId="29" xfId="0" applyBorder="1"/>
    <xf numFmtId="2" fontId="0" fillId="0" borderId="0" xfId="0" applyNumberFormat="1" applyAlignment="1"/>
    <xf numFmtId="1" fontId="0" fillId="0" borderId="29" xfId="0" applyNumberFormat="1" applyBorder="1"/>
    <xf numFmtId="0" fontId="4" fillId="2" borderId="0" xfId="0" applyFont="1" applyFill="1" applyAlignment="1">
      <alignment horizontal="center"/>
    </xf>
    <xf numFmtId="1" fontId="0" fillId="0" borderId="0" xfId="0" applyNumberFormat="1" applyBorder="1"/>
    <xf numFmtId="0" fontId="4" fillId="0" borderId="0" xfId="0" applyFont="1" applyFill="1" applyBorder="1"/>
    <xf numFmtId="1" fontId="0" fillId="0" borderId="11" xfId="0" applyNumberFormat="1" applyBorder="1"/>
    <xf numFmtId="1" fontId="0" fillId="0" borderId="13" xfId="0" applyNumberFormat="1" applyBorder="1"/>
    <xf numFmtId="0" fontId="0" fillId="0" borderId="0" xfId="0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 applyFill="1" applyBorder="1" applyAlignment="1" applyProtection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10" borderId="11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21" fillId="10" borderId="13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 applyProtection="1">
      <alignment horizontal="center" vertical="center" wrapText="1"/>
    </xf>
    <xf numFmtId="1" fontId="9" fillId="15" borderId="0" xfId="0" applyNumberFormat="1" applyFont="1" applyFill="1" applyBorder="1" applyAlignment="1" applyProtection="1">
      <alignment horizontal="center" vertical="center" wrapText="1"/>
    </xf>
    <xf numFmtId="0" fontId="21" fillId="16" borderId="0" xfId="0" applyFont="1" applyFill="1" applyBorder="1" applyAlignment="1">
      <alignment horizontal="center" vertical="center" wrapText="1"/>
    </xf>
    <xf numFmtId="1" fontId="21" fillId="16" borderId="0" xfId="0" applyNumberFormat="1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1" fillId="17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0" fontId="13" fillId="16" borderId="2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1" fontId="22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0" xfId="0" applyFill="1" applyAlignment="1">
      <alignment horizontal="center"/>
    </xf>
    <xf numFmtId="164" fontId="0" fillId="12" borderId="3" xfId="0" applyNumberFormat="1" applyFill="1" applyBorder="1"/>
    <xf numFmtId="0" fontId="0" fillId="12" borderId="4" xfId="0" applyFill="1" applyBorder="1"/>
    <xf numFmtId="0" fontId="0" fillId="12" borderId="6" xfId="0" applyFill="1" applyBorder="1"/>
    <xf numFmtId="0" fontId="29" fillId="0" borderId="0" xfId="0" applyFont="1" applyAlignment="1">
      <alignment horizontal="justify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</xf>
    <xf numFmtId="0" fontId="0" fillId="18" borderId="11" xfId="0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19" borderId="11" xfId="0" applyFont="1" applyFill="1" applyBorder="1" applyAlignment="1" applyProtection="1">
      <alignment horizontal="center" vertical="center" wrapText="1"/>
      <protection locked="0"/>
    </xf>
    <xf numFmtId="0" fontId="38" fillId="19" borderId="11" xfId="0" applyFont="1" applyFill="1" applyBorder="1" applyAlignment="1" applyProtection="1">
      <alignment horizontal="center" vertical="center" wrapText="1"/>
      <protection locked="0"/>
    </xf>
    <xf numFmtId="0" fontId="18" fillId="19" borderId="11" xfId="0" applyFont="1" applyFill="1" applyBorder="1" applyAlignment="1" applyProtection="1">
      <alignment horizontal="center" vertical="center" wrapText="1"/>
      <protection locked="0"/>
    </xf>
    <xf numFmtId="0" fontId="18" fillId="19" borderId="13" xfId="0" applyFont="1" applyFill="1" applyBorder="1" applyAlignment="1" applyProtection="1">
      <alignment horizontal="center" vertical="center" wrapText="1"/>
      <protection locked="0"/>
    </xf>
    <xf numFmtId="0" fontId="18" fillId="19" borderId="29" xfId="0" applyFont="1" applyFill="1" applyBorder="1" applyAlignment="1" applyProtection="1">
      <alignment horizontal="center" vertical="center" wrapText="1"/>
      <protection locked="0"/>
    </xf>
    <xf numFmtId="0" fontId="20" fillId="19" borderId="11" xfId="0" applyFont="1" applyFill="1" applyBorder="1" applyAlignment="1" applyProtection="1">
      <alignment horizontal="center" vertical="center" wrapText="1"/>
      <protection locked="0"/>
    </xf>
    <xf numFmtId="0" fontId="20" fillId="19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0" fillId="19" borderId="23" xfId="0" applyFont="1" applyFill="1" applyBorder="1" applyAlignment="1">
      <alignment horizontal="center"/>
    </xf>
    <xf numFmtId="0" fontId="10" fillId="19" borderId="25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19" borderId="24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 wrapText="1"/>
    </xf>
    <xf numFmtId="0" fontId="26" fillId="10" borderId="1" xfId="0" applyFont="1" applyFill="1" applyBorder="1" applyAlignment="1" applyProtection="1">
      <alignment horizontal="center" vertical="center" wrapText="1"/>
    </xf>
    <xf numFmtId="0" fontId="26" fillId="10" borderId="22" xfId="0" applyFont="1" applyFill="1" applyBorder="1" applyAlignment="1" applyProtection="1">
      <alignment horizontal="center" vertical="center" wrapText="1"/>
    </xf>
    <xf numFmtId="0" fontId="26" fillId="10" borderId="2" xfId="0" applyFont="1" applyFill="1" applyBorder="1" applyAlignment="1" applyProtection="1">
      <alignment horizontal="center" vertical="center" wrapText="1"/>
    </xf>
    <xf numFmtId="0" fontId="27" fillId="10" borderId="1" xfId="0" applyFont="1" applyFill="1" applyBorder="1" applyAlignment="1" applyProtection="1">
      <alignment horizontal="center" vertical="center" wrapText="1"/>
    </xf>
    <xf numFmtId="0" fontId="27" fillId="10" borderId="22" xfId="0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15" fillId="10" borderId="0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3" fillId="19" borderId="11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 applyProtection="1">
      <alignment horizontal="center" vertical="center" wrapText="1"/>
    </xf>
    <xf numFmtId="0" fontId="27" fillId="10" borderId="0" xfId="0" applyFont="1" applyFill="1" applyBorder="1" applyAlignment="1" applyProtection="1">
      <alignment horizontal="center" vertical="center" wrapText="1"/>
    </xf>
    <xf numFmtId="0" fontId="27" fillId="10" borderId="4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4" fillId="9" borderId="22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32" fillId="0" borderId="23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4" fillId="19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5">
    <cellStyle name="]_x000d__x000a_Zoomed=1_x000d__x000a_Row=0_x000d__x000a_Column=0_x000d__x000a_Height=0_x000d__x000a_Width=0_x000d__x000a_FontName=FoxFont_x000d__x000a_FontStyle=0_x000d__x000a_FontSize=9_x000d__x000a_PrtFontName=FoxPrin" xfId="1"/>
    <cellStyle name="Euro" xfId="2"/>
    <cellStyle name="Normal" xfId="0" builtinId="0"/>
    <cellStyle name="Normal 2" xfId="4"/>
    <cellStyle name="Pourcentage" xfId="3" builtinId="5"/>
  </cellStyles>
  <dxfs count="9"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41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ly"/>
            <c:order val="2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'Echangeurs à plaque'!$Q$40:$Q$41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xVal>
          <c:yVal>
            <c:numRef>
              <c:f>'Echangeurs à plaque'!$R$40:$R$41</c:f>
              <c:numCache>
                <c:formatCode>General</c:formatCode>
                <c:ptCount val="2"/>
                <c:pt idx="0">
                  <c:v>0.1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43296"/>
        <c:axId val="130622208"/>
      </c:scatterChart>
      <c:valAx>
        <c:axId val="13074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622208"/>
        <c:crosses val="autoZero"/>
        <c:crossBetween val="midCat"/>
      </c:valAx>
      <c:valAx>
        <c:axId val="13062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43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198789</xdr:colOff>
          <xdr:row>50</xdr:row>
          <xdr:rowOff>0</xdr:rowOff>
        </xdr:from>
        <xdr:to>
          <xdr:col>7</xdr:col>
          <xdr:colOff>993920</xdr:colOff>
          <xdr:row>53</xdr:row>
          <xdr:rowOff>223630</xdr:rowOff>
        </xdr:to>
        <xdr:pic>
          <xdr:nvPicPr>
            <xdr:cNvPr id="10" name="Image 9"/>
            <xdr:cNvPicPr>
              <a:picLocks noChangeAspect="1" noChangeArrowheads="1"/>
              <a:extLst>
                <a:ext uri="{84589F7E-364E-4C9E-8A38-B11213B215E9}">
                  <a14:cameraTool cellRange="imginst" spid="_x0000_s1259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4766" t="3661" r="6153" b="4805"/>
            <a:stretch>
              <a:fillRect/>
            </a:stretch>
          </xdr:blipFill>
          <xdr:spPr bwMode="auto">
            <a:xfrm>
              <a:off x="4514028" y="9591261"/>
              <a:ext cx="1996109" cy="82826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6</xdr:col>
      <xdr:colOff>91112</xdr:colOff>
      <xdr:row>90</xdr:row>
      <xdr:rowOff>140805</xdr:rowOff>
    </xdr:from>
    <xdr:to>
      <xdr:col>7</xdr:col>
      <xdr:colOff>935939</xdr:colOff>
      <xdr:row>94</xdr:row>
      <xdr:rowOff>99392</xdr:rowOff>
    </xdr:to>
    <xdr:pic>
      <xdr:nvPicPr>
        <xdr:cNvPr id="5" name="Imag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4" t="12987" r="9853" b="7123"/>
        <a:stretch/>
      </xdr:blipFill>
      <xdr:spPr bwMode="auto">
        <a:xfrm>
          <a:off x="5433395" y="13558631"/>
          <a:ext cx="1018761" cy="902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611578</xdr:colOff>
      <xdr:row>61</xdr:row>
      <xdr:rowOff>2</xdr:rowOff>
    </xdr:from>
    <xdr:to>
      <xdr:col>7</xdr:col>
      <xdr:colOff>917498</xdr:colOff>
      <xdr:row>63</xdr:row>
      <xdr:rowOff>248480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817" y="11620502"/>
          <a:ext cx="1506898" cy="77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745435</xdr:colOff>
      <xdr:row>1</xdr:row>
      <xdr:rowOff>16600</xdr:rowOff>
    </xdr:from>
    <xdr:to>
      <xdr:col>7</xdr:col>
      <xdr:colOff>778566</xdr:colOff>
      <xdr:row>2</xdr:row>
      <xdr:rowOff>99394</xdr:rowOff>
    </xdr:to>
    <xdr:pic>
      <xdr:nvPicPr>
        <xdr:cNvPr id="7" name="Picture 39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4435" y="323057"/>
          <a:ext cx="2120348" cy="4389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104775</xdr:rowOff>
    </xdr:from>
    <xdr:to>
      <xdr:col>7</xdr:col>
      <xdr:colOff>1066800</xdr:colOff>
      <xdr:row>4</xdr:row>
      <xdr:rowOff>85725</xdr:rowOff>
    </xdr:to>
    <xdr:cxnSp macro="">
      <xdr:nvCxnSpPr>
        <xdr:cNvPr id="3" name="Connecteur droit avec flèche 2"/>
        <xdr:cNvCxnSpPr/>
      </xdr:nvCxnSpPr>
      <xdr:spPr bwMode="auto">
        <a:xfrm flipH="1">
          <a:off x="6124575" y="600075"/>
          <a:ext cx="232410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447676</xdr:colOff>
      <xdr:row>3</xdr:row>
      <xdr:rowOff>95250</xdr:rowOff>
    </xdr:from>
    <xdr:to>
      <xdr:col>7</xdr:col>
      <xdr:colOff>1057275</xdr:colOff>
      <xdr:row>25</xdr:row>
      <xdr:rowOff>123825</xdr:rowOff>
    </xdr:to>
    <xdr:cxnSp macro="">
      <xdr:nvCxnSpPr>
        <xdr:cNvPr id="5" name="Connecteur droit avec flèche 4"/>
        <xdr:cNvCxnSpPr/>
      </xdr:nvCxnSpPr>
      <xdr:spPr bwMode="auto">
        <a:xfrm flipH="1">
          <a:off x="6486526" y="590550"/>
          <a:ext cx="1952624" cy="36576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42</xdr:row>
      <xdr:rowOff>0</xdr:rowOff>
    </xdr:from>
    <xdr:to>
      <xdr:col>20</xdr:col>
      <xdr:colOff>504825</xdr:colOff>
      <xdr:row>58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1</xdr:row>
      <xdr:rowOff>38100</xdr:rowOff>
    </xdr:from>
    <xdr:to>
      <xdr:col>1</xdr:col>
      <xdr:colOff>1988563</xdr:colOff>
      <xdr:row>1</xdr:row>
      <xdr:rowOff>830649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1571625"/>
          <a:ext cx="1426588" cy="792549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38100</xdr:rowOff>
    </xdr:from>
    <xdr:to>
      <xdr:col>1</xdr:col>
      <xdr:colOff>2365770</xdr:colOff>
      <xdr:row>2</xdr:row>
      <xdr:rowOff>891209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847850"/>
          <a:ext cx="1927620" cy="853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21</xdr:row>
      <xdr:rowOff>38100</xdr:rowOff>
    </xdr:from>
    <xdr:to>
      <xdr:col>2</xdr:col>
      <xdr:colOff>1866900</xdr:colOff>
      <xdr:row>31</xdr:row>
      <xdr:rowOff>21590</xdr:rowOff>
    </xdr:to>
    <xdr:pic>
      <xdr:nvPicPr>
        <xdr:cNvPr id="108" name="Image 10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629150"/>
          <a:ext cx="4029075" cy="1602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5</xdr:col>
      <xdr:colOff>323849</xdr:colOff>
      <xdr:row>67</xdr:row>
      <xdr:rowOff>76200</xdr:rowOff>
    </xdr:to>
    <xdr:pic>
      <xdr:nvPicPr>
        <xdr:cNvPr id="109" name="Image 10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67950"/>
          <a:ext cx="7115174" cy="2505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695325</xdr:colOff>
      <xdr:row>72</xdr:row>
      <xdr:rowOff>0</xdr:rowOff>
    </xdr:from>
    <xdr:to>
      <xdr:col>2</xdr:col>
      <xdr:colOff>1524000</xdr:colOff>
      <xdr:row>73</xdr:row>
      <xdr:rowOff>47625</xdr:rowOff>
    </xdr:to>
    <xdr:pic>
      <xdr:nvPicPr>
        <xdr:cNvPr id="110" name="Image 10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3868400"/>
          <a:ext cx="828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704850</xdr:colOff>
      <xdr:row>74</xdr:row>
      <xdr:rowOff>123825</xdr:rowOff>
    </xdr:from>
    <xdr:to>
      <xdr:col>2</xdr:col>
      <xdr:colOff>1962150</xdr:colOff>
      <xdr:row>77</xdr:row>
      <xdr:rowOff>47625</xdr:rowOff>
    </xdr:to>
    <xdr:pic>
      <xdr:nvPicPr>
        <xdr:cNvPr id="112" name="Image 1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4316075"/>
          <a:ext cx="1257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742950</xdr:colOff>
      <xdr:row>78</xdr:row>
      <xdr:rowOff>0</xdr:rowOff>
    </xdr:from>
    <xdr:to>
      <xdr:col>2</xdr:col>
      <xdr:colOff>1685925</xdr:colOff>
      <xdr:row>79</xdr:row>
      <xdr:rowOff>47625</xdr:rowOff>
    </xdr:to>
    <xdr:pic>
      <xdr:nvPicPr>
        <xdr:cNvPr id="113" name="Image 1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839950"/>
          <a:ext cx="9429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742950</xdr:colOff>
      <xdr:row>79</xdr:row>
      <xdr:rowOff>123825</xdr:rowOff>
    </xdr:from>
    <xdr:to>
      <xdr:col>2</xdr:col>
      <xdr:colOff>2028825</xdr:colOff>
      <xdr:row>82</xdr:row>
      <xdr:rowOff>0</xdr:rowOff>
    </xdr:to>
    <xdr:pic>
      <xdr:nvPicPr>
        <xdr:cNvPr id="114" name="Image 1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5125700"/>
          <a:ext cx="1285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742950</xdr:colOff>
      <xdr:row>83</xdr:row>
      <xdr:rowOff>38100</xdr:rowOff>
    </xdr:from>
    <xdr:to>
      <xdr:col>2</xdr:col>
      <xdr:colOff>1838325</xdr:colOff>
      <xdr:row>84</xdr:row>
      <xdr:rowOff>38100</xdr:rowOff>
    </xdr:to>
    <xdr:pic>
      <xdr:nvPicPr>
        <xdr:cNvPr id="115" name="Image 11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5687675"/>
          <a:ext cx="10953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942975</xdr:colOff>
      <xdr:row>84</xdr:row>
      <xdr:rowOff>85725</xdr:rowOff>
    </xdr:from>
    <xdr:to>
      <xdr:col>2</xdr:col>
      <xdr:colOff>1495425</xdr:colOff>
      <xdr:row>86</xdr:row>
      <xdr:rowOff>104775</xdr:rowOff>
    </xdr:to>
    <xdr:pic>
      <xdr:nvPicPr>
        <xdr:cNvPr id="118" name="Image 11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5925800"/>
          <a:ext cx="5524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2657475</xdr:colOff>
      <xdr:row>88</xdr:row>
      <xdr:rowOff>47625</xdr:rowOff>
    </xdr:to>
    <xdr:pic>
      <xdr:nvPicPr>
        <xdr:cNvPr id="119" name="Image 11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6325850"/>
          <a:ext cx="2657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161925</xdr:colOff>
      <xdr:row>88</xdr:row>
      <xdr:rowOff>152400</xdr:rowOff>
    </xdr:from>
    <xdr:to>
      <xdr:col>3</xdr:col>
      <xdr:colOff>619125</xdr:colOff>
      <xdr:row>91</xdr:row>
      <xdr:rowOff>38100</xdr:rowOff>
    </xdr:to>
    <xdr:pic>
      <xdr:nvPicPr>
        <xdr:cNvPr id="120" name="Image 11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6640175"/>
          <a:ext cx="3162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6</xdr:col>
      <xdr:colOff>161925</xdr:colOff>
      <xdr:row>94</xdr:row>
      <xdr:rowOff>133350</xdr:rowOff>
    </xdr:to>
    <xdr:pic>
      <xdr:nvPicPr>
        <xdr:cNvPr id="121" name="Image 120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7135475"/>
          <a:ext cx="51530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96</xdr:row>
      <xdr:rowOff>57150</xdr:rowOff>
    </xdr:from>
    <xdr:to>
      <xdr:col>4</xdr:col>
      <xdr:colOff>123825</xdr:colOff>
      <xdr:row>98</xdr:row>
      <xdr:rowOff>104775</xdr:rowOff>
    </xdr:to>
    <xdr:pic>
      <xdr:nvPicPr>
        <xdr:cNvPr id="122" name="Image 12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840325"/>
          <a:ext cx="3476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99</xdr:row>
      <xdr:rowOff>47625</xdr:rowOff>
    </xdr:from>
    <xdr:to>
      <xdr:col>4</xdr:col>
      <xdr:colOff>28575</xdr:colOff>
      <xdr:row>101</xdr:row>
      <xdr:rowOff>114300</xdr:rowOff>
    </xdr:to>
    <xdr:pic>
      <xdr:nvPicPr>
        <xdr:cNvPr id="123" name="Image 12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18316575"/>
          <a:ext cx="3362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171450</xdr:colOff>
      <xdr:row>102</xdr:row>
      <xdr:rowOff>142875</xdr:rowOff>
    </xdr:from>
    <xdr:to>
      <xdr:col>2</xdr:col>
      <xdr:colOff>885825</xdr:colOff>
      <xdr:row>104</xdr:row>
      <xdr:rowOff>9525</xdr:rowOff>
    </xdr:to>
    <xdr:pic>
      <xdr:nvPicPr>
        <xdr:cNvPr id="124" name="Image 12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8897600"/>
          <a:ext cx="7143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104</xdr:row>
      <xdr:rowOff>47625</xdr:rowOff>
    </xdr:from>
    <xdr:to>
      <xdr:col>3</xdr:col>
      <xdr:colOff>28575</xdr:colOff>
      <xdr:row>106</xdr:row>
      <xdr:rowOff>114300</xdr:rowOff>
    </xdr:to>
    <xdr:pic>
      <xdr:nvPicPr>
        <xdr:cNvPr id="125" name="Image 124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9126200"/>
          <a:ext cx="2638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N63"/>
  <sheetViews>
    <sheetView showGridLines="0" showRowColHeaders="0" tabSelected="1" zoomScale="85" zoomScaleNormal="85" workbookViewId="0">
      <selection activeCell="B2" sqref="B2:J2"/>
    </sheetView>
  </sheetViews>
  <sheetFormatPr baseColWidth="10" defaultRowHeight="15" x14ac:dyDescent="0.2"/>
  <cols>
    <col min="1" max="1" width="5.140625" style="99" customWidth="1"/>
    <col min="2" max="16384" width="11.42578125" style="99"/>
  </cols>
  <sheetData>
    <row r="1" spans="2:10" ht="15.75" thickBot="1" x14ac:dyDescent="0.25"/>
    <row r="2" spans="2:10" ht="24" thickBot="1" x14ac:dyDescent="0.4">
      <c r="B2" s="216" t="s">
        <v>209</v>
      </c>
      <c r="C2" s="217"/>
      <c r="D2" s="217"/>
      <c r="E2" s="217"/>
      <c r="F2" s="217"/>
      <c r="G2" s="217"/>
      <c r="H2" s="217"/>
      <c r="I2" s="217"/>
      <c r="J2" s="218"/>
    </row>
    <row r="3" spans="2:10" ht="15.75" thickBot="1" x14ac:dyDescent="0.25"/>
    <row r="4" spans="2:10" ht="15.75" thickBot="1" x14ac:dyDescent="0.25">
      <c r="B4" s="213" t="s">
        <v>182</v>
      </c>
      <c r="C4" s="219"/>
      <c r="D4" s="214"/>
    </row>
    <row r="6" spans="2:10" x14ac:dyDescent="0.2">
      <c r="B6" s="99" t="s">
        <v>183</v>
      </c>
    </row>
    <row r="8" spans="2:10" x14ac:dyDescent="0.2">
      <c r="B8" s="99" t="s">
        <v>184</v>
      </c>
      <c r="C8" s="99" t="s">
        <v>39</v>
      </c>
    </row>
    <row r="10" spans="2:10" x14ac:dyDescent="0.2">
      <c r="B10" s="99" t="s">
        <v>208</v>
      </c>
    </row>
    <row r="12" spans="2:10" x14ac:dyDescent="0.2">
      <c r="B12" s="99" t="s">
        <v>184</v>
      </c>
      <c r="C12" s="99" t="s">
        <v>181</v>
      </c>
    </row>
    <row r="14" spans="2:10" x14ac:dyDescent="0.2">
      <c r="B14" s="99" t="s">
        <v>185</v>
      </c>
    </row>
    <row r="16" spans="2:10" x14ac:dyDescent="0.2">
      <c r="B16" s="99" t="s">
        <v>186</v>
      </c>
      <c r="C16" s="99">
        <v>20</v>
      </c>
      <c r="D16" s="99" t="s">
        <v>187</v>
      </c>
    </row>
    <row r="19" spans="2:4" x14ac:dyDescent="0.2">
      <c r="B19" s="99" t="s">
        <v>188</v>
      </c>
    </row>
    <row r="20" spans="2:4" x14ac:dyDescent="0.2">
      <c r="B20" s="99" t="s">
        <v>189</v>
      </c>
    </row>
    <row r="22" spans="2:4" ht="15.75" thickBot="1" x14ac:dyDescent="0.25"/>
    <row r="23" spans="2:4" ht="15.75" thickBot="1" x14ac:dyDescent="0.25">
      <c r="B23" s="213" t="s">
        <v>190</v>
      </c>
      <c r="C23" s="219"/>
      <c r="D23" s="214"/>
    </row>
    <row r="25" spans="2:4" x14ac:dyDescent="0.2">
      <c r="B25" s="99" t="s">
        <v>191</v>
      </c>
    </row>
    <row r="27" spans="2:4" x14ac:dyDescent="0.2">
      <c r="B27" s="99" t="s">
        <v>193</v>
      </c>
    </row>
    <row r="28" spans="2:4" x14ac:dyDescent="0.2">
      <c r="B28" s="99" t="s">
        <v>192</v>
      </c>
    </row>
    <row r="30" spans="2:4" x14ac:dyDescent="0.2">
      <c r="B30" s="99" t="s">
        <v>194</v>
      </c>
    </row>
    <row r="32" spans="2:4" x14ac:dyDescent="0.2">
      <c r="B32" s="99" t="s">
        <v>195</v>
      </c>
    </row>
    <row r="34" spans="2:14" ht="15.75" thickBot="1" x14ac:dyDescent="0.25"/>
    <row r="35" spans="2:14" ht="15.75" thickBot="1" x14ac:dyDescent="0.25">
      <c r="B35" s="213" t="s">
        <v>197</v>
      </c>
      <c r="C35" s="219"/>
      <c r="D35" s="214"/>
    </row>
    <row r="36" spans="2:14" ht="15.75" thickBot="1" x14ac:dyDescent="0.25"/>
    <row r="37" spans="2:14" ht="15.75" thickBot="1" x14ac:dyDescent="0.25">
      <c r="B37" s="213" t="s">
        <v>155</v>
      </c>
      <c r="C37" s="214"/>
      <c r="D37" s="99" t="s">
        <v>202</v>
      </c>
    </row>
    <row r="39" spans="2:14" x14ac:dyDescent="0.2">
      <c r="B39" s="215" t="s">
        <v>318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</row>
    <row r="40" spans="2:14" x14ac:dyDescent="0.2"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</row>
    <row r="42" spans="2:14" x14ac:dyDescent="0.2">
      <c r="B42" s="99" t="s">
        <v>319</v>
      </c>
    </row>
    <row r="44" spans="2:14" x14ac:dyDescent="0.2">
      <c r="B44" s="100" t="s">
        <v>200</v>
      </c>
    </row>
    <row r="45" spans="2:14" ht="15.75" thickBot="1" x14ac:dyDescent="0.25"/>
    <row r="46" spans="2:14" ht="15.75" thickBot="1" x14ac:dyDescent="0.25">
      <c r="B46" s="213" t="s">
        <v>198</v>
      </c>
      <c r="C46" s="214"/>
      <c r="D46" s="99" t="s">
        <v>203</v>
      </c>
    </row>
    <row r="48" spans="2:14" ht="15" customHeight="1" x14ac:dyDescent="0.2">
      <c r="B48" s="215" t="s">
        <v>199</v>
      </c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</row>
    <row r="49" spans="2:14" x14ac:dyDescent="0.2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</row>
    <row r="51" spans="2:14" x14ac:dyDescent="0.2">
      <c r="B51" s="100" t="s">
        <v>200</v>
      </c>
    </row>
    <row r="52" spans="2:14" ht="15.75" thickBot="1" x14ac:dyDescent="0.25"/>
    <row r="53" spans="2:14" ht="15.75" thickBot="1" x14ac:dyDescent="0.25">
      <c r="B53" s="213" t="s">
        <v>201</v>
      </c>
      <c r="C53" s="214"/>
      <c r="D53" s="99" t="s">
        <v>204</v>
      </c>
    </row>
    <row r="55" spans="2:14" x14ac:dyDescent="0.2">
      <c r="B55" s="99" t="s">
        <v>205</v>
      </c>
    </row>
    <row r="57" spans="2:14" x14ac:dyDescent="0.2">
      <c r="B57" s="100" t="s">
        <v>200</v>
      </c>
    </row>
    <row r="58" spans="2:14" ht="15.75" thickBot="1" x14ac:dyDescent="0.25"/>
    <row r="59" spans="2:14" ht="15.75" thickBot="1" x14ac:dyDescent="0.25">
      <c r="B59" s="213" t="s">
        <v>206</v>
      </c>
      <c r="C59" s="214"/>
      <c r="D59" s="99" t="s">
        <v>207</v>
      </c>
    </row>
    <row r="61" spans="2:14" x14ac:dyDescent="0.2">
      <c r="B61" s="99" t="s">
        <v>205</v>
      </c>
    </row>
    <row r="63" spans="2:14" x14ac:dyDescent="0.2">
      <c r="B63" s="100" t="s">
        <v>200</v>
      </c>
    </row>
  </sheetData>
  <sheetProtection password="DB0F" sheet="1" objects="1" scenarios="1"/>
  <mergeCells count="10">
    <mergeCell ref="B53:C53"/>
    <mergeCell ref="B59:C59"/>
    <mergeCell ref="B48:N49"/>
    <mergeCell ref="B39:N40"/>
    <mergeCell ref="B2:J2"/>
    <mergeCell ref="B4:D4"/>
    <mergeCell ref="B23:D23"/>
    <mergeCell ref="B37:C37"/>
    <mergeCell ref="B46:C46"/>
    <mergeCell ref="B35:D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U55"/>
  <sheetViews>
    <sheetView topLeftCell="A16" workbookViewId="0">
      <selection activeCell="G40" sqref="G40"/>
    </sheetView>
  </sheetViews>
  <sheetFormatPr baseColWidth="10" defaultRowHeight="12.75" x14ac:dyDescent="0.2"/>
  <cols>
    <col min="1" max="1" width="9.85546875" bestFit="1" customWidth="1"/>
    <col min="2" max="2" width="13.7109375" bestFit="1" customWidth="1"/>
    <col min="12" max="12" width="19.85546875" bestFit="1" customWidth="1"/>
    <col min="13" max="13" width="12.5703125" bestFit="1" customWidth="1"/>
  </cols>
  <sheetData>
    <row r="1" spans="1:13" x14ac:dyDescent="0.2">
      <c r="A1" t="s">
        <v>8</v>
      </c>
      <c r="B1" s="2">
        <f>+Tprimaire</f>
        <v>70</v>
      </c>
      <c r="C1" t="s">
        <v>7</v>
      </c>
      <c r="F1" s="3"/>
    </row>
    <row r="2" spans="1:13" x14ac:dyDescent="0.2">
      <c r="A2" t="s">
        <v>9</v>
      </c>
      <c r="B2">
        <f>+'Ballons tampons instantané'!G4</f>
        <v>550</v>
      </c>
      <c r="C2" t="s">
        <v>10</v>
      </c>
      <c r="F2" s="3"/>
      <c r="M2" t="s">
        <v>26</v>
      </c>
    </row>
    <row r="3" spans="1:13" x14ac:dyDescent="0.2">
      <c r="A3" t="s">
        <v>11</v>
      </c>
      <c r="B3" s="2">
        <f>+'Tool ECS'!E47</f>
        <v>153.9763883903023</v>
      </c>
      <c r="C3" t="s">
        <v>5</v>
      </c>
      <c r="F3" s="3"/>
    </row>
    <row r="4" spans="1:13" x14ac:dyDescent="0.2">
      <c r="F4" s="3"/>
    </row>
    <row r="5" spans="1:13" x14ac:dyDescent="0.2">
      <c r="B5" s="4" t="s">
        <v>12</v>
      </c>
      <c r="C5" s="4" t="s">
        <v>9</v>
      </c>
      <c r="D5" s="5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31</v>
      </c>
      <c r="J5" s="4" t="s">
        <v>28</v>
      </c>
      <c r="K5" s="18" t="s">
        <v>1</v>
      </c>
      <c r="L5" s="4" t="s">
        <v>34</v>
      </c>
    </row>
    <row r="6" spans="1:13" x14ac:dyDescent="0.2">
      <c r="B6" s="4" t="s">
        <v>18</v>
      </c>
      <c r="C6" s="4" t="s">
        <v>10</v>
      </c>
      <c r="D6" s="4" t="s">
        <v>6</v>
      </c>
      <c r="E6" s="4" t="s">
        <v>5</v>
      </c>
      <c r="F6" s="4" t="s">
        <v>6</v>
      </c>
      <c r="G6" s="4" t="s">
        <v>19</v>
      </c>
      <c r="H6" s="4" t="s">
        <v>7</v>
      </c>
      <c r="I6" s="4"/>
      <c r="J6" s="4" t="s">
        <v>32</v>
      </c>
      <c r="K6" s="4" t="s">
        <v>19</v>
      </c>
      <c r="L6" s="4" t="s">
        <v>35</v>
      </c>
    </row>
    <row r="7" spans="1:13" x14ac:dyDescent="0.2">
      <c r="B7" s="93" t="s">
        <v>156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">
      <c r="A8">
        <v>1</v>
      </c>
      <c r="B8" s="1" t="str">
        <f t="shared" ref="B8:B22" si="0">IF(ISNA(VLOOKUP($A8,Solutions_Instantané,2,FALSE))=TRUE,"Hors Gamme",VLOOKUP($A8,Solutions_Instantané,2,FALSE))</f>
        <v>FWS 1500</v>
      </c>
      <c r="C8" s="3">
        <f t="shared" ref="C8:C22" si="1">IF(ISNA(VLOOKUP($A8,Solutions_Instantané,3,FALSE))=TRUE,0,VLOOKUP($A8,Solutions_Instantané,3,FALSE))</f>
        <v>1440</v>
      </c>
      <c r="D8" s="6">
        <f>IF(C8=0,"-",(C8-$B$2)/C8)</f>
        <v>0.61805555555555558</v>
      </c>
      <c r="E8" s="7">
        <f t="shared" ref="E8:E22" si="2">IF(ISNA(VLOOKUP($A8,Solutions_Instantané,7,FALSE))=TRUE,0,VLOOKUP($A8,Solutions_Instantané,7,FALSE))</f>
        <v>160</v>
      </c>
      <c r="F8" s="6">
        <f>IF(E8=0,"-",(E8-$B$3)/E8)</f>
        <v>3.7647572560610597E-2</v>
      </c>
      <c r="G8" s="8">
        <f t="shared" ref="G8:G22" si="3">IF(ISNA(VLOOKUP($A8,Solutions_Instantané,4,FALSE))=TRUE,0,VLOOKUP($A8,Solutions_Instantané,4,FALSE))</f>
        <v>6</v>
      </c>
      <c r="H8" s="3" t="str">
        <f>CONCATENATE($B$1,"°C - ",INT(($B$1-IF(G8=0,0,E8/(1.163*G8)))),"°C")</f>
        <v>70°C - 47°C</v>
      </c>
      <c r="I8" s="16">
        <f t="shared" ref="I8:I22" si="4">IF(ISNA(VLOOKUP($A8,$A$26:$K$123,11,FALSE)),0,VLOOKUP($A8,$A$26:$K$123,11,FALSE))</f>
        <v>0</v>
      </c>
      <c r="J8" s="17">
        <f t="shared" ref="J8:J22" si="5">IF(ISNA(VLOOKUP($A8,$A$26:$M$116,13,FALSE))=TRUE,0,VLOOKUP($A8,$A$26:$M$116,13,FALSE))</f>
        <v>100</v>
      </c>
      <c r="K8" s="19">
        <f t="shared" ref="K8:K22" si="6">IF(ISNA(VLOOKUP($A8,$A$26:$N$116,14,FALSE))=TRUE,0,VLOOKUP($A8,$A$26:$N$116,14,FALSE))</f>
        <v>2.7589999999999999</v>
      </c>
      <c r="L8" s="20">
        <f t="shared" ref="L8:L22" si="7">IF(ISNA(VLOOKUP($A8,$A$26:$N$116,9,FALSE))=TRUE,0,VLOOKUP($A8,$A$26:$N$116,9,FALSE))</f>
        <v>0</v>
      </c>
      <c r="M8" s="2">
        <f>($B$1-IF(G8=0,0,20))</f>
        <v>50</v>
      </c>
    </row>
    <row r="9" spans="1:13" x14ac:dyDescent="0.2">
      <c r="A9">
        <v>2</v>
      </c>
      <c r="B9" s="1" t="str">
        <f t="shared" si="0"/>
        <v>FWM 70-240</v>
      </c>
      <c r="C9" s="3">
        <f t="shared" si="1"/>
        <v>0</v>
      </c>
      <c r="D9" s="6" t="str">
        <f t="shared" ref="D9:D22" si="8">IF(C9=0,"-",(C9-$B$2)/C9)</f>
        <v>-</v>
      </c>
      <c r="E9" s="7">
        <f t="shared" si="2"/>
        <v>176</v>
      </c>
      <c r="F9" s="6">
        <f t="shared" ref="F9:F22" si="9">IF(E9=0,"-",(E9-$B$3)/E9)</f>
        <v>0.12513415687328236</v>
      </c>
      <c r="G9" s="8">
        <f t="shared" si="3"/>
        <v>3.06</v>
      </c>
      <c r="H9" s="3" t="str">
        <f t="shared" ref="H9:H22" si="10">CONCATENATE($B$1,"°C - ",INT(($B$1-IF(G9=0,0,E9/(1.163*G9)))),"°C")</f>
        <v>70°C - 20°C</v>
      </c>
      <c r="I9" s="16">
        <f t="shared" si="4"/>
        <v>0</v>
      </c>
      <c r="J9" s="17">
        <f t="shared" si="5"/>
        <v>0</v>
      </c>
      <c r="K9" s="19">
        <f t="shared" si="6"/>
        <v>3.0339999999999998</v>
      </c>
      <c r="L9" s="20">
        <f t="shared" si="7"/>
        <v>0</v>
      </c>
      <c r="M9" s="2">
        <f t="shared" ref="M9:M22" si="11">($B$1-IF(G9=0,0,20))</f>
        <v>50</v>
      </c>
    </row>
    <row r="10" spans="1:13" x14ac:dyDescent="0.2">
      <c r="A10">
        <v>3</v>
      </c>
      <c r="B10" s="1" t="str">
        <f t="shared" si="0"/>
        <v>2 FWM 50-170</v>
      </c>
      <c r="C10" s="3">
        <f t="shared" si="1"/>
        <v>0</v>
      </c>
      <c r="D10" s="6" t="str">
        <f t="shared" si="8"/>
        <v>-</v>
      </c>
      <c r="E10" s="7">
        <f t="shared" si="2"/>
        <v>258</v>
      </c>
      <c r="F10" s="6">
        <f t="shared" si="9"/>
        <v>0.40319229306084381</v>
      </c>
      <c r="G10" s="8">
        <f t="shared" si="3"/>
        <v>4.22</v>
      </c>
      <c r="H10" s="3" t="str">
        <f t="shared" si="10"/>
        <v>70°C - 17°C</v>
      </c>
      <c r="I10" s="16">
        <f t="shared" si="4"/>
        <v>0</v>
      </c>
      <c r="J10" s="17">
        <f t="shared" si="5"/>
        <v>0</v>
      </c>
      <c r="K10" s="19">
        <f t="shared" si="6"/>
        <v>4.4480000000000004</v>
      </c>
      <c r="L10" s="20">
        <f t="shared" si="7"/>
        <v>0</v>
      </c>
      <c r="M10" s="2">
        <f t="shared" si="11"/>
        <v>50</v>
      </c>
    </row>
    <row r="11" spans="1:13" x14ac:dyDescent="0.2">
      <c r="A11">
        <v>4</v>
      </c>
      <c r="B11" s="1" t="str">
        <f t="shared" si="0"/>
        <v>2 FWM 70-240</v>
      </c>
      <c r="C11" s="3">
        <f t="shared" si="1"/>
        <v>0</v>
      </c>
      <c r="D11" s="6" t="str">
        <f t="shared" si="8"/>
        <v>-</v>
      </c>
      <c r="E11" s="7">
        <f t="shared" si="2"/>
        <v>352</v>
      </c>
      <c r="F11" s="6">
        <f t="shared" si="9"/>
        <v>0.56256707843664122</v>
      </c>
      <c r="G11" s="8">
        <f t="shared" si="3"/>
        <v>6.12</v>
      </c>
      <c r="H11" s="3" t="str">
        <f t="shared" si="10"/>
        <v>70°C - 20°C</v>
      </c>
      <c r="I11" s="16">
        <f t="shared" si="4"/>
        <v>0</v>
      </c>
      <c r="J11" s="17">
        <f t="shared" si="5"/>
        <v>0</v>
      </c>
      <c r="K11" s="19">
        <f t="shared" si="6"/>
        <v>6.069</v>
      </c>
      <c r="L11" s="20">
        <f t="shared" si="7"/>
        <v>0</v>
      </c>
      <c r="M11" s="2">
        <f t="shared" si="11"/>
        <v>50</v>
      </c>
    </row>
    <row r="12" spans="1:13" x14ac:dyDescent="0.2">
      <c r="A12">
        <v>5</v>
      </c>
      <c r="B12" s="1" t="str">
        <f t="shared" si="0"/>
        <v>Hors Gamme</v>
      </c>
      <c r="C12" s="3">
        <f t="shared" si="1"/>
        <v>0</v>
      </c>
      <c r="D12" s="6" t="str">
        <f t="shared" si="8"/>
        <v>-</v>
      </c>
      <c r="E12" s="7">
        <f t="shared" si="2"/>
        <v>0</v>
      </c>
      <c r="F12" s="6" t="str">
        <f t="shared" si="9"/>
        <v>-</v>
      </c>
      <c r="G12" s="8">
        <f t="shared" si="3"/>
        <v>0</v>
      </c>
      <c r="H12" s="3" t="str">
        <f t="shared" si="10"/>
        <v>70°C - 70°C</v>
      </c>
      <c r="I12" s="16">
        <f t="shared" si="4"/>
        <v>0</v>
      </c>
      <c r="J12" s="17">
        <f t="shared" si="5"/>
        <v>0</v>
      </c>
      <c r="K12" s="19">
        <f t="shared" si="6"/>
        <v>0</v>
      </c>
      <c r="L12" s="20">
        <f t="shared" si="7"/>
        <v>0</v>
      </c>
      <c r="M12" s="2">
        <f t="shared" si="11"/>
        <v>70</v>
      </c>
    </row>
    <row r="13" spans="1:13" x14ac:dyDescent="0.2">
      <c r="A13">
        <v>6</v>
      </c>
      <c r="B13" s="1" t="str">
        <f t="shared" si="0"/>
        <v>Hors Gamme</v>
      </c>
      <c r="C13" s="3">
        <f t="shared" si="1"/>
        <v>0</v>
      </c>
      <c r="D13" s="6" t="str">
        <f t="shared" si="8"/>
        <v>-</v>
      </c>
      <c r="E13" s="7">
        <f t="shared" si="2"/>
        <v>0</v>
      </c>
      <c r="F13" s="6" t="str">
        <f t="shared" si="9"/>
        <v>-</v>
      </c>
      <c r="G13" s="8">
        <f t="shared" si="3"/>
        <v>0</v>
      </c>
      <c r="H13" s="3" t="str">
        <f t="shared" si="10"/>
        <v>70°C - 70°C</v>
      </c>
      <c r="I13" s="16">
        <f t="shared" si="4"/>
        <v>0</v>
      </c>
      <c r="J13" s="17">
        <f t="shared" si="5"/>
        <v>0</v>
      </c>
      <c r="K13" s="19">
        <f t="shared" si="6"/>
        <v>0</v>
      </c>
      <c r="L13" s="20">
        <f t="shared" si="7"/>
        <v>0</v>
      </c>
      <c r="M13" s="2">
        <f t="shared" si="11"/>
        <v>70</v>
      </c>
    </row>
    <row r="14" spans="1:13" x14ac:dyDescent="0.2">
      <c r="A14">
        <v>7</v>
      </c>
      <c r="B14" s="1" t="str">
        <f t="shared" si="0"/>
        <v>Hors Gamme</v>
      </c>
      <c r="C14" s="3">
        <f t="shared" si="1"/>
        <v>0</v>
      </c>
      <c r="D14" s="6" t="str">
        <f t="shared" si="8"/>
        <v>-</v>
      </c>
      <c r="E14" s="7">
        <f t="shared" si="2"/>
        <v>0</v>
      </c>
      <c r="F14" s="6" t="str">
        <f t="shared" si="9"/>
        <v>-</v>
      </c>
      <c r="G14" s="8">
        <f t="shared" si="3"/>
        <v>0</v>
      </c>
      <c r="H14" s="3" t="str">
        <f t="shared" si="10"/>
        <v>70°C - 70°C</v>
      </c>
      <c r="I14" s="16">
        <f t="shared" si="4"/>
        <v>0</v>
      </c>
      <c r="J14" s="17">
        <f t="shared" si="5"/>
        <v>0</v>
      </c>
      <c r="K14" s="19">
        <f t="shared" si="6"/>
        <v>0</v>
      </c>
      <c r="L14" s="20">
        <f t="shared" si="7"/>
        <v>0</v>
      </c>
      <c r="M14" s="2">
        <f t="shared" si="11"/>
        <v>70</v>
      </c>
    </row>
    <row r="15" spans="1:13" x14ac:dyDescent="0.2">
      <c r="A15">
        <v>8</v>
      </c>
      <c r="B15" s="1" t="str">
        <f t="shared" si="0"/>
        <v>Hors Gamme</v>
      </c>
      <c r="C15" s="3">
        <f t="shared" si="1"/>
        <v>0</v>
      </c>
      <c r="D15" s="6" t="str">
        <f t="shared" si="8"/>
        <v>-</v>
      </c>
      <c r="E15" s="7">
        <f t="shared" si="2"/>
        <v>0</v>
      </c>
      <c r="F15" s="6" t="str">
        <f t="shared" si="9"/>
        <v>-</v>
      </c>
      <c r="G15" s="8">
        <f t="shared" si="3"/>
        <v>0</v>
      </c>
      <c r="H15" s="3" t="str">
        <f t="shared" si="10"/>
        <v>70°C - 70°C</v>
      </c>
      <c r="I15" s="16">
        <f t="shared" si="4"/>
        <v>0</v>
      </c>
      <c r="J15" s="17">
        <f t="shared" si="5"/>
        <v>0</v>
      </c>
      <c r="K15" s="19">
        <f t="shared" si="6"/>
        <v>0</v>
      </c>
      <c r="L15" s="20">
        <f t="shared" si="7"/>
        <v>0</v>
      </c>
      <c r="M15" s="2">
        <f t="shared" si="11"/>
        <v>70</v>
      </c>
    </row>
    <row r="16" spans="1:13" x14ac:dyDescent="0.2">
      <c r="A16">
        <v>9</v>
      </c>
      <c r="B16" s="1" t="str">
        <f t="shared" si="0"/>
        <v>Hors Gamme</v>
      </c>
      <c r="C16" s="3">
        <f t="shared" si="1"/>
        <v>0</v>
      </c>
      <c r="D16" s="6" t="str">
        <f t="shared" si="8"/>
        <v>-</v>
      </c>
      <c r="E16" s="7">
        <f t="shared" si="2"/>
        <v>0</v>
      </c>
      <c r="F16" s="6" t="str">
        <f t="shared" si="9"/>
        <v>-</v>
      </c>
      <c r="G16" s="8">
        <f t="shared" si="3"/>
        <v>0</v>
      </c>
      <c r="H16" s="3" t="str">
        <f t="shared" si="10"/>
        <v>70°C - 70°C</v>
      </c>
      <c r="I16" s="16">
        <f t="shared" si="4"/>
        <v>0</v>
      </c>
      <c r="J16" s="17">
        <f t="shared" si="5"/>
        <v>0</v>
      </c>
      <c r="K16" s="19">
        <f t="shared" si="6"/>
        <v>0</v>
      </c>
      <c r="L16" s="20">
        <f t="shared" si="7"/>
        <v>0</v>
      </c>
      <c r="M16" s="2">
        <f t="shared" si="11"/>
        <v>70</v>
      </c>
    </row>
    <row r="17" spans="1:21" x14ac:dyDescent="0.2">
      <c r="A17">
        <v>10</v>
      </c>
      <c r="B17" s="1" t="str">
        <f t="shared" si="0"/>
        <v>Hors Gamme</v>
      </c>
      <c r="C17" s="3">
        <f t="shared" si="1"/>
        <v>0</v>
      </c>
      <c r="D17" s="6" t="str">
        <f t="shared" si="8"/>
        <v>-</v>
      </c>
      <c r="E17" s="7">
        <f t="shared" si="2"/>
        <v>0</v>
      </c>
      <c r="F17" s="6" t="str">
        <f t="shared" si="9"/>
        <v>-</v>
      </c>
      <c r="G17" s="8">
        <f t="shared" si="3"/>
        <v>0</v>
      </c>
      <c r="H17" s="3" t="str">
        <f t="shared" si="10"/>
        <v>70°C - 70°C</v>
      </c>
      <c r="I17" s="16">
        <f t="shared" si="4"/>
        <v>0</v>
      </c>
      <c r="J17" s="17">
        <f t="shared" si="5"/>
        <v>0</v>
      </c>
      <c r="K17" s="19">
        <f t="shared" si="6"/>
        <v>0</v>
      </c>
      <c r="L17" s="20">
        <f t="shared" si="7"/>
        <v>0</v>
      </c>
      <c r="M17" s="2">
        <f t="shared" si="11"/>
        <v>70</v>
      </c>
    </row>
    <row r="18" spans="1:21" x14ac:dyDescent="0.2">
      <c r="A18">
        <v>11</v>
      </c>
      <c r="B18" s="1" t="str">
        <f t="shared" si="0"/>
        <v>Hors Gamme</v>
      </c>
      <c r="C18" s="3">
        <f t="shared" si="1"/>
        <v>0</v>
      </c>
      <c r="D18" s="6" t="str">
        <f t="shared" si="8"/>
        <v>-</v>
      </c>
      <c r="E18" s="7">
        <f t="shared" si="2"/>
        <v>0</v>
      </c>
      <c r="F18" s="6" t="str">
        <f t="shared" si="9"/>
        <v>-</v>
      </c>
      <c r="G18" s="8">
        <f t="shared" si="3"/>
        <v>0</v>
      </c>
      <c r="H18" s="3" t="str">
        <f t="shared" si="10"/>
        <v>70°C - 70°C</v>
      </c>
      <c r="I18" s="16">
        <f t="shared" si="4"/>
        <v>0</v>
      </c>
      <c r="J18" s="17">
        <f t="shared" si="5"/>
        <v>0</v>
      </c>
      <c r="K18" s="19">
        <f t="shared" si="6"/>
        <v>0</v>
      </c>
      <c r="L18" s="20">
        <f t="shared" si="7"/>
        <v>0</v>
      </c>
      <c r="M18" s="2">
        <f t="shared" si="11"/>
        <v>70</v>
      </c>
    </row>
    <row r="19" spans="1:21" x14ac:dyDescent="0.2">
      <c r="A19">
        <v>12</v>
      </c>
      <c r="B19" s="1" t="str">
        <f t="shared" si="0"/>
        <v>Hors Gamme</v>
      </c>
      <c r="C19" s="3">
        <f t="shared" si="1"/>
        <v>0</v>
      </c>
      <c r="D19" s="6" t="str">
        <f t="shared" si="8"/>
        <v>-</v>
      </c>
      <c r="E19" s="7">
        <f t="shared" si="2"/>
        <v>0</v>
      </c>
      <c r="F19" s="6" t="str">
        <f t="shared" si="9"/>
        <v>-</v>
      </c>
      <c r="G19" s="8">
        <f t="shared" si="3"/>
        <v>0</v>
      </c>
      <c r="H19" s="3" t="str">
        <f t="shared" si="10"/>
        <v>70°C - 70°C</v>
      </c>
      <c r="I19" s="16">
        <f t="shared" si="4"/>
        <v>0</v>
      </c>
      <c r="J19" s="17">
        <f t="shared" si="5"/>
        <v>0</v>
      </c>
      <c r="K19" s="19">
        <f t="shared" si="6"/>
        <v>0</v>
      </c>
      <c r="L19" s="20">
        <f t="shared" si="7"/>
        <v>0</v>
      </c>
      <c r="M19" s="2">
        <f t="shared" si="11"/>
        <v>70</v>
      </c>
    </row>
    <row r="20" spans="1:21" x14ac:dyDescent="0.2">
      <c r="A20">
        <v>13</v>
      </c>
      <c r="B20" s="1" t="str">
        <f t="shared" si="0"/>
        <v>Hors Gamme</v>
      </c>
      <c r="C20" s="3">
        <f t="shared" si="1"/>
        <v>0</v>
      </c>
      <c r="D20" s="6" t="str">
        <f t="shared" si="8"/>
        <v>-</v>
      </c>
      <c r="E20" s="7">
        <f t="shared" si="2"/>
        <v>0</v>
      </c>
      <c r="F20" s="6" t="str">
        <f t="shared" si="9"/>
        <v>-</v>
      </c>
      <c r="G20" s="8">
        <f t="shared" si="3"/>
        <v>0</v>
      </c>
      <c r="H20" s="3" t="str">
        <f t="shared" si="10"/>
        <v>70°C - 70°C</v>
      </c>
      <c r="I20" s="16">
        <f t="shared" si="4"/>
        <v>0</v>
      </c>
      <c r="J20" s="17">
        <f t="shared" si="5"/>
        <v>0</v>
      </c>
      <c r="K20" s="19">
        <f t="shared" si="6"/>
        <v>0</v>
      </c>
      <c r="L20" s="20">
        <f t="shared" si="7"/>
        <v>0</v>
      </c>
      <c r="M20" s="2">
        <f t="shared" si="11"/>
        <v>70</v>
      </c>
    </row>
    <row r="21" spans="1:21" x14ac:dyDescent="0.2">
      <c r="A21">
        <v>14</v>
      </c>
      <c r="B21" s="1" t="str">
        <f t="shared" si="0"/>
        <v>Hors Gamme</v>
      </c>
      <c r="C21" s="3">
        <f t="shared" si="1"/>
        <v>0</v>
      </c>
      <c r="D21" s="6" t="str">
        <f t="shared" si="8"/>
        <v>-</v>
      </c>
      <c r="E21" s="7">
        <f t="shared" si="2"/>
        <v>0</v>
      </c>
      <c r="F21" s="6" t="str">
        <f t="shared" si="9"/>
        <v>-</v>
      </c>
      <c r="G21" s="8">
        <f t="shared" si="3"/>
        <v>0</v>
      </c>
      <c r="H21" s="3" t="str">
        <f t="shared" si="10"/>
        <v>70°C - 70°C</v>
      </c>
      <c r="I21" s="16">
        <f t="shared" si="4"/>
        <v>0</v>
      </c>
      <c r="J21" s="17">
        <f t="shared" si="5"/>
        <v>0</v>
      </c>
      <c r="K21" s="19">
        <f t="shared" si="6"/>
        <v>0</v>
      </c>
      <c r="L21" s="20">
        <f t="shared" si="7"/>
        <v>0</v>
      </c>
      <c r="M21" s="2">
        <f t="shared" si="11"/>
        <v>70</v>
      </c>
    </row>
    <row r="22" spans="1:21" x14ac:dyDescent="0.2">
      <c r="A22">
        <v>15</v>
      </c>
      <c r="B22" s="1" t="str">
        <f t="shared" si="0"/>
        <v>Hors Gamme</v>
      </c>
      <c r="C22" s="3">
        <f t="shared" si="1"/>
        <v>0</v>
      </c>
      <c r="D22" s="6" t="str">
        <f t="shared" si="8"/>
        <v>-</v>
      </c>
      <c r="E22" s="7">
        <f t="shared" si="2"/>
        <v>0</v>
      </c>
      <c r="F22" s="6" t="str">
        <f t="shared" si="9"/>
        <v>-</v>
      </c>
      <c r="G22" s="8">
        <f t="shared" si="3"/>
        <v>0</v>
      </c>
      <c r="H22" s="3" t="str">
        <f t="shared" si="10"/>
        <v>70°C - 70°C</v>
      </c>
      <c r="I22" s="16">
        <f t="shared" si="4"/>
        <v>0</v>
      </c>
      <c r="J22" s="17">
        <f t="shared" si="5"/>
        <v>0</v>
      </c>
      <c r="K22" s="19">
        <f t="shared" si="6"/>
        <v>0</v>
      </c>
      <c r="L22" s="20">
        <f t="shared" si="7"/>
        <v>0</v>
      </c>
      <c r="M22" s="2">
        <f t="shared" si="11"/>
        <v>70</v>
      </c>
    </row>
    <row r="23" spans="1:21" x14ac:dyDescent="0.2">
      <c r="F23" s="3"/>
    </row>
    <row r="24" spans="1:21" x14ac:dyDescent="0.2">
      <c r="F24" s="3"/>
    </row>
    <row r="25" spans="1:21" x14ac:dyDescent="0.2">
      <c r="F25" s="3"/>
    </row>
    <row r="26" spans="1:21" x14ac:dyDescent="0.2">
      <c r="A26" s="9" t="s">
        <v>12</v>
      </c>
      <c r="B26" s="9" t="s">
        <v>20</v>
      </c>
      <c r="C26" s="9" t="s">
        <v>9</v>
      </c>
      <c r="D26" s="9" t="s">
        <v>21</v>
      </c>
      <c r="E26" s="9" t="s">
        <v>22</v>
      </c>
      <c r="F26" s="4" t="s">
        <v>23</v>
      </c>
      <c r="G26" s="9" t="s">
        <v>24</v>
      </c>
      <c r="H26" s="9" t="s">
        <v>29</v>
      </c>
      <c r="I26" s="9" t="s">
        <v>25</v>
      </c>
      <c r="J26" s="9" t="s">
        <v>4</v>
      </c>
      <c r="K26" s="9" t="s">
        <v>31</v>
      </c>
      <c r="L26" s="9" t="s">
        <v>27</v>
      </c>
      <c r="M26" s="9" t="s">
        <v>30</v>
      </c>
      <c r="N26" s="9" t="s">
        <v>33</v>
      </c>
    </row>
    <row r="27" spans="1:21" x14ac:dyDescent="0.2">
      <c r="A27">
        <f>J27</f>
        <v>0</v>
      </c>
      <c r="B27" s="63" t="s">
        <v>125</v>
      </c>
      <c r="C27">
        <v>0</v>
      </c>
      <c r="D27">
        <v>2.2200000000000002</v>
      </c>
      <c r="E27" s="84">
        <v>70</v>
      </c>
      <c r="F27">
        <v>60</v>
      </c>
      <c r="G27">
        <v>129</v>
      </c>
      <c r="H27" s="88">
        <f t="shared" ref="H27:H32" si="12">ROUND(G27*1000/1.16/50,0)</f>
        <v>2224</v>
      </c>
      <c r="J27">
        <f>IF(F27=Tecs,1,0)*IF(E27=Tprimaire,1,0)*IF('Ballons tampons instantané'!$G$4&gt;=Qmax,1,0)*IF(G27&gt;=$B$3,1,0)</f>
        <v>0</v>
      </c>
      <c r="N27">
        <f t="shared" ref="N27:N40" si="13">+H27/1000</f>
        <v>2.2240000000000002</v>
      </c>
    </row>
    <row r="28" spans="1:21" x14ac:dyDescent="0.2">
      <c r="A28">
        <f t="shared" ref="A28:A55" si="14">+A27+J28</f>
        <v>0</v>
      </c>
      <c r="B28" s="63" t="s">
        <v>127</v>
      </c>
      <c r="C28">
        <v>700</v>
      </c>
      <c r="D28">
        <v>6</v>
      </c>
      <c r="E28" s="84">
        <v>70</v>
      </c>
      <c r="F28">
        <v>60</v>
      </c>
      <c r="G28">
        <v>148</v>
      </c>
      <c r="H28" s="88">
        <f t="shared" si="12"/>
        <v>2552</v>
      </c>
      <c r="J28">
        <f>IF(F28=Tecs,1,0)*IF(E28=Tprimaire,1,0)*IF('Ballons tampons instantané'!$G$4&gt;=Qmax,1,0)*IF(G28&gt;=$B$3,1,0)</f>
        <v>0</v>
      </c>
      <c r="L28">
        <v>2000</v>
      </c>
      <c r="M28">
        <f t="shared" ref="M28:M35" si="15">+L28/10</f>
        <v>200</v>
      </c>
      <c r="N28">
        <f t="shared" si="13"/>
        <v>2.552</v>
      </c>
    </row>
    <row r="29" spans="1:21" x14ac:dyDescent="0.2">
      <c r="A29">
        <f t="shared" si="14"/>
        <v>1</v>
      </c>
      <c r="B29" s="63" t="s">
        <v>130</v>
      </c>
      <c r="C29">
        <v>1440</v>
      </c>
      <c r="D29">
        <v>6</v>
      </c>
      <c r="E29" s="84">
        <v>70</v>
      </c>
      <c r="F29">
        <v>60</v>
      </c>
      <c r="G29">
        <v>160</v>
      </c>
      <c r="H29" s="88">
        <f t="shared" si="12"/>
        <v>2759</v>
      </c>
      <c r="J29">
        <f>IF(F29=Tecs,1,0)*IF(E29=Tprimaire,1,0)*IF('Ballons tampons instantané'!$G$4&gt;=Qmax,1,0)*IF(G29&gt;=$B$3,1,0)</f>
        <v>1</v>
      </c>
      <c r="L29">
        <v>1000</v>
      </c>
      <c r="M29">
        <f t="shared" si="15"/>
        <v>100</v>
      </c>
      <c r="N29">
        <f t="shared" si="13"/>
        <v>2.7589999999999999</v>
      </c>
      <c r="U29">
        <f>1160/140</f>
        <v>8.2857142857142865</v>
      </c>
    </row>
    <row r="30" spans="1:21" x14ac:dyDescent="0.2">
      <c r="A30">
        <f t="shared" si="14"/>
        <v>2</v>
      </c>
      <c r="B30" s="63" t="s">
        <v>126</v>
      </c>
      <c r="C30">
        <v>0</v>
      </c>
      <c r="D30">
        <v>3.06</v>
      </c>
      <c r="E30" s="84">
        <v>70</v>
      </c>
      <c r="F30">
        <v>60</v>
      </c>
      <c r="G30">
        <v>176</v>
      </c>
      <c r="H30" s="88">
        <f t="shared" si="12"/>
        <v>3034</v>
      </c>
      <c r="J30">
        <f>IF(F30=Tecs,1,0)*IF(E30=Tprimaire,1,0)*IF('Ballons tampons instantané'!$G$4&gt;=Qmax,1,0)*IF(G30&gt;=$B$3,1,0)</f>
        <v>1</v>
      </c>
      <c r="N30">
        <f t="shared" si="13"/>
        <v>3.0339999999999998</v>
      </c>
      <c r="U30">
        <f>8*140</f>
        <v>1120</v>
      </c>
    </row>
    <row r="31" spans="1:21" x14ac:dyDescent="0.2">
      <c r="A31">
        <f t="shared" si="14"/>
        <v>3</v>
      </c>
      <c r="B31" s="63" t="s">
        <v>129</v>
      </c>
      <c r="C31">
        <v>0</v>
      </c>
      <c r="D31">
        <v>4.22</v>
      </c>
      <c r="E31" s="84">
        <v>70</v>
      </c>
      <c r="F31">
        <v>60</v>
      </c>
      <c r="G31">
        <v>258</v>
      </c>
      <c r="H31" s="88">
        <f t="shared" si="12"/>
        <v>4448</v>
      </c>
      <c r="J31">
        <f>IF(F31=Tecs,1,0)*IF(E31=Tprimaire,1,0)*IF('Ballons tampons instantané'!$G$4&gt;=Qmax,1,0)*IF(G31&gt;=$B$3,1,0)</f>
        <v>1</v>
      </c>
      <c r="M31">
        <f t="shared" si="15"/>
        <v>0</v>
      </c>
      <c r="N31">
        <f t="shared" si="13"/>
        <v>4.4480000000000004</v>
      </c>
    </row>
    <row r="32" spans="1:21" x14ac:dyDescent="0.2">
      <c r="A32">
        <f t="shared" si="14"/>
        <v>4</v>
      </c>
      <c r="B32" s="63" t="s">
        <v>128</v>
      </c>
      <c r="C32">
        <v>0</v>
      </c>
      <c r="D32">
        <v>6.12</v>
      </c>
      <c r="E32" s="84">
        <v>70</v>
      </c>
      <c r="F32">
        <v>60</v>
      </c>
      <c r="G32" s="194">
        <f>2*G30</f>
        <v>352</v>
      </c>
      <c r="H32" s="88">
        <f t="shared" si="12"/>
        <v>6069</v>
      </c>
      <c r="J32">
        <f>IF(F32=Tecs,1,0)*IF(E32=Tprimaire,1,0)*IF('Ballons tampons instantané'!$G$4&gt;=Qmax,1,0)*IF(G32&gt;=$B$3,1,0)</f>
        <v>1</v>
      </c>
      <c r="N32">
        <f t="shared" si="13"/>
        <v>6.069</v>
      </c>
    </row>
    <row r="33" spans="1:18" x14ac:dyDescent="0.2">
      <c r="A33">
        <f t="shared" si="14"/>
        <v>4</v>
      </c>
      <c r="B33" s="63" t="s">
        <v>125</v>
      </c>
      <c r="C33">
        <v>0</v>
      </c>
      <c r="D33">
        <v>3.94</v>
      </c>
      <c r="E33" s="85">
        <v>80</v>
      </c>
      <c r="F33">
        <v>60</v>
      </c>
      <c r="G33">
        <v>169</v>
      </c>
      <c r="H33" s="88">
        <f t="shared" ref="H33:H46" si="16">ROUND(G33*1000/1.16/50,0)</f>
        <v>2914</v>
      </c>
      <c r="J33">
        <f>IF(F33=Tecs,1,0)*IF(E33=Tprimaire,1,0)*IF('Ballons tampons instantané'!$G$4&gt;=Qmax,1,0)*IF(G33&gt;=$B$3,1,0)</f>
        <v>0</v>
      </c>
      <c r="N33">
        <f t="shared" si="13"/>
        <v>2.9140000000000001</v>
      </c>
    </row>
    <row r="34" spans="1:18" x14ac:dyDescent="0.2">
      <c r="A34">
        <f t="shared" si="14"/>
        <v>4</v>
      </c>
      <c r="B34" s="63" t="s">
        <v>127</v>
      </c>
      <c r="C34">
        <v>700</v>
      </c>
      <c r="D34">
        <v>6</v>
      </c>
      <c r="E34" s="85">
        <v>80</v>
      </c>
      <c r="F34">
        <v>60</v>
      </c>
      <c r="G34">
        <v>226</v>
      </c>
      <c r="H34" s="88">
        <f>ROUND(G34*1000/1.16/50,0)</f>
        <v>3897</v>
      </c>
      <c r="J34">
        <f>IF(F34=Tecs,1,0)*IF(E34=Tprimaire,1,0)*IF('Ballons tampons instantané'!$G$4&gt;=Qmax,1,0)*IF(G34&gt;=$B$3,1,0)</f>
        <v>0</v>
      </c>
      <c r="L34">
        <v>2000</v>
      </c>
      <c r="M34">
        <f>+L34/10</f>
        <v>200</v>
      </c>
      <c r="N34">
        <f>+H34/1000</f>
        <v>3.8969999999999998</v>
      </c>
    </row>
    <row r="35" spans="1:18" x14ac:dyDescent="0.2">
      <c r="A35">
        <f t="shared" si="14"/>
        <v>4</v>
      </c>
      <c r="B35" s="63" t="s">
        <v>130</v>
      </c>
      <c r="C35">
        <v>1440</v>
      </c>
      <c r="D35">
        <v>6</v>
      </c>
      <c r="E35" s="85">
        <v>80</v>
      </c>
      <c r="F35">
        <v>60</v>
      </c>
      <c r="G35">
        <v>227</v>
      </c>
      <c r="H35" s="88">
        <f t="shared" ref="H35" si="17">ROUND(G35*1000/1.16/50,0)</f>
        <v>3914</v>
      </c>
      <c r="J35">
        <f>IF(F35=Tecs,1,0)*IF(E35=Tprimaire,1,0)*IF('Ballons tampons instantané'!$G$4&gt;=Qmax,1,0)*IF(G35&gt;=$B$3,1,0)</f>
        <v>0</v>
      </c>
      <c r="L35">
        <v>1000</v>
      </c>
      <c r="M35">
        <f t="shared" si="15"/>
        <v>100</v>
      </c>
      <c r="N35">
        <f t="shared" si="13"/>
        <v>3.9140000000000001</v>
      </c>
      <c r="Q35">
        <v>3</v>
      </c>
      <c r="R35">
        <f>0.0125*Q35^2+0.125*Q35-0.2</f>
        <v>0.28749999999999998</v>
      </c>
    </row>
    <row r="36" spans="1:18" x14ac:dyDescent="0.2">
      <c r="A36">
        <f t="shared" si="14"/>
        <v>4</v>
      </c>
      <c r="B36" s="63" t="s">
        <v>126</v>
      </c>
      <c r="C36">
        <v>0</v>
      </c>
      <c r="D36">
        <v>3.96</v>
      </c>
      <c r="E36" s="85">
        <v>80</v>
      </c>
      <c r="F36">
        <v>60</v>
      </c>
      <c r="G36">
        <v>228</v>
      </c>
      <c r="H36" s="88">
        <f t="shared" si="16"/>
        <v>3931</v>
      </c>
      <c r="J36">
        <f>IF(F36=Tecs,1,0)*IF(E36=Tprimaire,1,0)*IF('Ballons tampons instantané'!$G$4&gt;=Qmax,1,0)*IF(G36&gt;=$B$3,1,0)</f>
        <v>0</v>
      </c>
      <c r="N36">
        <f t="shared" si="13"/>
        <v>3.931</v>
      </c>
    </row>
    <row r="37" spans="1:18" x14ac:dyDescent="0.2">
      <c r="A37">
        <f t="shared" si="14"/>
        <v>4</v>
      </c>
      <c r="B37" s="63" t="s">
        <v>129</v>
      </c>
      <c r="C37">
        <v>0</v>
      </c>
      <c r="D37">
        <v>7.88</v>
      </c>
      <c r="E37" s="85">
        <v>80</v>
      </c>
      <c r="F37">
        <v>60</v>
      </c>
      <c r="G37">
        <v>338</v>
      </c>
      <c r="H37" s="88">
        <f t="shared" si="16"/>
        <v>5828</v>
      </c>
      <c r="J37">
        <f>IF(F37=Tecs,1,0)*IF(E37=Tprimaire,1,0)*IF('Ballons tampons instantané'!$G$4&gt;=Qmax,1,0)*IF(G37&gt;=$B$3,1,0)</f>
        <v>0</v>
      </c>
      <c r="N37">
        <f t="shared" si="13"/>
        <v>5.8280000000000003</v>
      </c>
      <c r="Q37">
        <v>5</v>
      </c>
      <c r="R37">
        <f>0.0125*Q37^2+0.125*Q37-0.2</f>
        <v>0.73750000000000004</v>
      </c>
    </row>
    <row r="38" spans="1:18" x14ac:dyDescent="0.2">
      <c r="A38">
        <f t="shared" si="14"/>
        <v>4</v>
      </c>
      <c r="B38" s="63" t="s">
        <v>128</v>
      </c>
      <c r="C38">
        <v>0</v>
      </c>
      <c r="D38" s="87">
        <v>3.96</v>
      </c>
      <c r="E38" s="85">
        <v>80</v>
      </c>
      <c r="F38">
        <v>60</v>
      </c>
      <c r="G38">
        <v>456</v>
      </c>
      <c r="H38" s="88">
        <f t="shared" si="16"/>
        <v>7862</v>
      </c>
      <c r="J38">
        <f>IF(F38=Tecs,1,0)*IF(E38=Tprimaire,1,0)*IF('Ballons tampons instantané'!$G$4&gt;=Qmax,1,0)*IF(G38&gt;=$B$3,1,0)</f>
        <v>0</v>
      </c>
      <c r="N38">
        <f t="shared" si="13"/>
        <v>7.8620000000000001</v>
      </c>
    </row>
    <row r="39" spans="1:18" x14ac:dyDescent="0.2">
      <c r="A39">
        <f t="shared" si="14"/>
        <v>4</v>
      </c>
      <c r="B39" s="63" t="s">
        <v>125</v>
      </c>
      <c r="C39">
        <v>0</v>
      </c>
      <c r="D39">
        <v>3.54</v>
      </c>
      <c r="E39" s="86">
        <v>90</v>
      </c>
      <c r="F39">
        <v>60</v>
      </c>
      <c r="G39">
        <v>203</v>
      </c>
      <c r="H39" s="88">
        <f t="shared" si="16"/>
        <v>3500</v>
      </c>
      <c r="J39">
        <f>IF(F39=Tecs,1,0)*IF(E39=Tprimaire,1,0)*IF('Ballons tampons instantané'!$G$4&gt;=Qmax,1,0)*IF(G39&gt;=$B$3,1,0)</f>
        <v>0</v>
      </c>
      <c r="N39">
        <f t="shared" si="13"/>
        <v>3.5</v>
      </c>
    </row>
    <row r="40" spans="1:18" x14ac:dyDescent="0.2">
      <c r="A40">
        <f t="shared" si="14"/>
        <v>4</v>
      </c>
      <c r="B40" s="63" t="s">
        <v>126</v>
      </c>
      <c r="C40">
        <v>0</v>
      </c>
      <c r="D40">
        <v>4.74</v>
      </c>
      <c r="E40" s="86">
        <v>90</v>
      </c>
      <c r="F40">
        <v>60</v>
      </c>
      <c r="G40">
        <v>273</v>
      </c>
      <c r="H40" s="88">
        <f t="shared" si="16"/>
        <v>4707</v>
      </c>
      <c r="J40">
        <f>IF(F40=Tecs,1,0)*IF(E40=Tprimaire,1,0)*IF('Ballons tampons instantané'!$G$4&gt;=Qmax,1,0)*IF(G40&gt;=$B$3,1,0)</f>
        <v>0</v>
      </c>
      <c r="N40">
        <f t="shared" si="13"/>
        <v>4.7069999999999999</v>
      </c>
      <c r="Q40">
        <v>2</v>
      </c>
      <c r="R40">
        <v>0.1</v>
      </c>
    </row>
    <row r="41" spans="1:18" x14ac:dyDescent="0.2">
      <c r="A41">
        <f t="shared" si="14"/>
        <v>4</v>
      </c>
      <c r="B41" s="63" t="s">
        <v>129</v>
      </c>
      <c r="C41">
        <v>0</v>
      </c>
      <c r="D41">
        <v>7.08</v>
      </c>
      <c r="E41" s="86">
        <v>90</v>
      </c>
      <c r="F41">
        <v>60</v>
      </c>
      <c r="G41">
        <v>406</v>
      </c>
      <c r="H41" s="88">
        <f t="shared" si="16"/>
        <v>7000</v>
      </c>
      <c r="J41">
        <f>IF(F41=Tecs,1,0)*IF(E41=Tprimaire,1,0)*IF('Ballons tampons instantané'!$G$4&gt;=Qmax,1,0)*IF(G41&gt;=$B$3,1,0)</f>
        <v>0</v>
      </c>
      <c r="N41">
        <f t="shared" ref="N41:N54" si="18">+H41/1000</f>
        <v>7</v>
      </c>
      <c r="Q41">
        <v>6</v>
      </c>
      <c r="R41">
        <v>1</v>
      </c>
    </row>
    <row r="42" spans="1:18" x14ac:dyDescent="0.2">
      <c r="A42">
        <f t="shared" si="14"/>
        <v>4</v>
      </c>
      <c r="B42" s="63" t="s">
        <v>128</v>
      </c>
      <c r="C42">
        <v>0</v>
      </c>
      <c r="D42">
        <v>9.48</v>
      </c>
      <c r="E42" s="86">
        <v>90</v>
      </c>
      <c r="F42">
        <v>60</v>
      </c>
      <c r="G42">
        <v>546</v>
      </c>
      <c r="H42" s="88">
        <f t="shared" si="16"/>
        <v>9414</v>
      </c>
      <c r="J42">
        <f>IF(F42=Tecs,1,0)*IF(E42=Tprimaire,1,0)*IF('Ballons tampons instantané'!$G$4&gt;=Qmax,1,0)*IF(G42&gt;=$B$3,1,0)</f>
        <v>0</v>
      </c>
      <c r="N42">
        <f t="shared" si="18"/>
        <v>9.4139999999999997</v>
      </c>
    </row>
    <row r="43" spans="1:18" x14ac:dyDescent="0.2">
      <c r="A43">
        <f t="shared" si="14"/>
        <v>4</v>
      </c>
      <c r="B43" s="63" t="s">
        <v>125</v>
      </c>
      <c r="C43">
        <v>0</v>
      </c>
      <c r="D43">
        <v>2.7</v>
      </c>
      <c r="E43" s="84">
        <v>70</v>
      </c>
      <c r="F43">
        <v>55</v>
      </c>
      <c r="G43">
        <v>141</v>
      </c>
      <c r="H43" s="88">
        <f t="shared" si="16"/>
        <v>2431</v>
      </c>
      <c r="J43">
        <f>IF(F43=Tecs,1,0)*IF(E43=Tprimaire,1,0)*IF('Ballons tampons instantané'!$G$4&gt;=Qmax,1,0)*IF(G43&gt;=$B$3,1,0)</f>
        <v>0</v>
      </c>
      <c r="N43">
        <f t="shared" si="18"/>
        <v>2.431</v>
      </c>
    </row>
    <row r="44" spans="1:18" x14ac:dyDescent="0.2">
      <c r="A44">
        <f t="shared" si="14"/>
        <v>4</v>
      </c>
      <c r="B44" s="63" t="s">
        <v>126</v>
      </c>
      <c r="C44">
        <v>0</v>
      </c>
      <c r="D44">
        <v>3.66</v>
      </c>
      <c r="E44" s="84">
        <v>70</v>
      </c>
      <c r="F44">
        <v>55</v>
      </c>
      <c r="G44">
        <v>190</v>
      </c>
      <c r="H44" s="88">
        <f t="shared" si="16"/>
        <v>3276</v>
      </c>
      <c r="J44">
        <f>IF(F44=Tecs,1,0)*IF(E44=Tprimaire,1,0)*IF('Ballons tampons instantané'!$G$4&gt;=Qmax,1,0)*IF(G44&gt;=$B$3,1,0)</f>
        <v>0</v>
      </c>
      <c r="N44">
        <f t="shared" si="18"/>
        <v>3.2759999999999998</v>
      </c>
    </row>
    <row r="45" spans="1:18" x14ac:dyDescent="0.2">
      <c r="A45">
        <f t="shared" si="14"/>
        <v>4</v>
      </c>
      <c r="B45" s="63" t="s">
        <v>129</v>
      </c>
      <c r="C45">
        <v>0</v>
      </c>
      <c r="D45">
        <v>5.4</v>
      </c>
      <c r="E45" s="84">
        <v>70</v>
      </c>
      <c r="F45">
        <v>55</v>
      </c>
      <c r="G45">
        <v>282</v>
      </c>
      <c r="H45" s="88">
        <f t="shared" si="16"/>
        <v>4862</v>
      </c>
      <c r="J45">
        <f>IF(F45=Tecs,1,0)*IF(E45=Tprimaire,1,0)*IF('Ballons tampons instantané'!$G$4&gt;=Qmax,1,0)*IF(G45&gt;=$B$3,1,0)</f>
        <v>0</v>
      </c>
      <c r="N45">
        <f t="shared" si="18"/>
        <v>4.8620000000000001</v>
      </c>
    </row>
    <row r="46" spans="1:18" x14ac:dyDescent="0.2">
      <c r="A46">
        <f t="shared" si="14"/>
        <v>4</v>
      </c>
      <c r="B46" s="63" t="s">
        <v>128</v>
      </c>
      <c r="C46">
        <v>0</v>
      </c>
      <c r="D46">
        <v>7.32</v>
      </c>
      <c r="E46" s="84">
        <v>70</v>
      </c>
      <c r="F46">
        <v>55</v>
      </c>
      <c r="G46">
        <v>380</v>
      </c>
      <c r="H46" s="88">
        <f t="shared" si="16"/>
        <v>6552</v>
      </c>
      <c r="J46">
        <f>IF(F46=Tecs,1,0)*IF(E46=Tprimaire,1,0)*IF('Ballons tampons instantané'!$G$4&gt;=Qmax,1,0)*IF(G46&gt;=$B$3,1,0)</f>
        <v>0</v>
      </c>
      <c r="N46">
        <f t="shared" si="18"/>
        <v>6.5519999999999996</v>
      </c>
    </row>
    <row r="47" spans="1:18" x14ac:dyDescent="0.2">
      <c r="A47">
        <f t="shared" si="14"/>
        <v>4</v>
      </c>
      <c r="B47" s="63" t="s">
        <v>125</v>
      </c>
      <c r="C47">
        <v>0</v>
      </c>
      <c r="D47">
        <v>3.42</v>
      </c>
      <c r="E47" s="85">
        <v>80</v>
      </c>
      <c r="F47">
        <v>55</v>
      </c>
      <c r="G47">
        <v>176</v>
      </c>
      <c r="H47" s="88">
        <f t="shared" ref="H47" si="19">ROUND(G47*1000/1.16/50,0)</f>
        <v>3034</v>
      </c>
      <c r="J47">
        <f>IF(F47=Tecs,1,0)*IF(E47=Tprimaire,1,0)*IF('Ballons tampons instantané'!$G$4&gt;=Qmax,1,0)*IF(G47&gt;=$B$3,1,0)</f>
        <v>0</v>
      </c>
      <c r="M47">
        <f t="shared" ref="M47" si="20">+L47/10</f>
        <v>0</v>
      </c>
      <c r="N47">
        <f t="shared" si="18"/>
        <v>3.0339999999999998</v>
      </c>
    </row>
    <row r="48" spans="1:18" x14ac:dyDescent="0.2">
      <c r="A48">
        <f t="shared" si="14"/>
        <v>4</v>
      </c>
      <c r="B48" s="63" t="s">
        <v>126</v>
      </c>
      <c r="C48">
        <v>0</v>
      </c>
      <c r="D48">
        <v>4.5599999999999996</v>
      </c>
      <c r="E48" s="85">
        <v>80</v>
      </c>
      <c r="F48">
        <v>55</v>
      </c>
      <c r="G48">
        <v>215</v>
      </c>
      <c r="H48" s="88">
        <f t="shared" ref="H48" si="21">ROUND(G48*1000/1.16/50,0)</f>
        <v>3707</v>
      </c>
      <c r="J48">
        <f>IF(F48=Tecs,1,0)*IF(E48=Tprimaire,1,0)*IF('Ballons tampons instantané'!$G$4&gt;=Qmax,1,0)*IF(G48&gt;=$B$3,1,0)</f>
        <v>0</v>
      </c>
      <c r="N48">
        <f t="shared" si="18"/>
        <v>3.7069999999999999</v>
      </c>
    </row>
    <row r="49" spans="1:14" x14ac:dyDescent="0.2">
      <c r="A49">
        <f t="shared" si="14"/>
        <v>4</v>
      </c>
      <c r="B49" s="63" t="s">
        <v>129</v>
      </c>
      <c r="C49">
        <v>0</v>
      </c>
      <c r="D49">
        <v>6.84</v>
      </c>
      <c r="E49" s="85">
        <v>80</v>
      </c>
      <c r="F49">
        <v>55</v>
      </c>
      <c r="G49">
        <v>352</v>
      </c>
      <c r="H49" s="88">
        <f t="shared" ref="H49:H54" si="22">ROUND(G49*1000/1.16/50,0)</f>
        <v>6069</v>
      </c>
      <c r="J49">
        <f>IF(F49=Tecs,1,0)*IF(E49=Tprimaire,1,0)*IF('Ballons tampons instantané'!$G$4&gt;=Qmax,1,0)*IF(G49&gt;=$B$3,1,0)</f>
        <v>0</v>
      </c>
      <c r="N49">
        <f t="shared" si="18"/>
        <v>6.069</v>
      </c>
    </row>
    <row r="50" spans="1:14" x14ac:dyDescent="0.2">
      <c r="A50">
        <f t="shared" si="14"/>
        <v>4</v>
      </c>
      <c r="B50" s="63" t="s">
        <v>128</v>
      </c>
      <c r="C50">
        <v>0</v>
      </c>
      <c r="D50">
        <v>9.1199999999999992</v>
      </c>
      <c r="E50" s="85">
        <v>80</v>
      </c>
      <c r="F50">
        <v>55</v>
      </c>
      <c r="G50">
        <v>430</v>
      </c>
      <c r="H50" s="88">
        <f t="shared" si="22"/>
        <v>7414</v>
      </c>
      <c r="J50">
        <f>IF(F50=Tecs,1,0)*IF(E50=Tprimaire,1,0)*IF('Ballons tampons instantané'!$G$4&gt;=Qmax,1,0)*IF(G50&gt;=$B$3,1,0)</f>
        <v>0</v>
      </c>
      <c r="N50">
        <f t="shared" si="18"/>
        <v>7.4139999999999997</v>
      </c>
    </row>
    <row r="51" spans="1:14" x14ac:dyDescent="0.2">
      <c r="A51">
        <f t="shared" si="14"/>
        <v>4</v>
      </c>
      <c r="B51" s="63" t="s">
        <v>125</v>
      </c>
      <c r="C51">
        <v>0</v>
      </c>
      <c r="D51">
        <v>3.9</v>
      </c>
      <c r="E51" s="86">
        <v>90</v>
      </c>
      <c r="F51">
        <v>55</v>
      </c>
      <c r="G51">
        <v>203</v>
      </c>
      <c r="H51" s="88">
        <f t="shared" si="22"/>
        <v>3500</v>
      </c>
      <c r="J51">
        <f>IF(F51=Tecs,1,0)*IF(E51=Tprimaire,1,0)*IF('Ballons tampons instantané'!$G$4&gt;=Qmax,1,0)*IF(G51&gt;=$B$3,1,0)</f>
        <v>0</v>
      </c>
      <c r="N51">
        <f t="shared" si="18"/>
        <v>3.5</v>
      </c>
    </row>
    <row r="52" spans="1:14" x14ac:dyDescent="0.2">
      <c r="A52">
        <f t="shared" si="14"/>
        <v>4</v>
      </c>
      <c r="B52" s="63" t="s">
        <v>126</v>
      </c>
      <c r="C52">
        <v>0</v>
      </c>
      <c r="D52">
        <v>5.28</v>
      </c>
      <c r="E52" s="86">
        <v>90</v>
      </c>
      <c r="F52">
        <v>55</v>
      </c>
      <c r="G52">
        <v>274</v>
      </c>
      <c r="H52" s="88">
        <f t="shared" si="22"/>
        <v>4724</v>
      </c>
      <c r="J52">
        <f>IF(F52=Tecs,1,0)*IF(E52=Tprimaire,1,0)*IF('Ballons tampons instantané'!$G$4&gt;=Qmax,1,0)*IF(G52&gt;=$B$3,1,0)</f>
        <v>0</v>
      </c>
      <c r="N52">
        <f t="shared" si="18"/>
        <v>4.7240000000000002</v>
      </c>
    </row>
    <row r="53" spans="1:14" x14ac:dyDescent="0.2">
      <c r="A53">
        <f t="shared" si="14"/>
        <v>4</v>
      </c>
      <c r="B53" s="63" t="s">
        <v>129</v>
      </c>
      <c r="C53">
        <v>0</v>
      </c>
      <c r="D53">
        <v>7.8</v>
      </c>
      <c r="E53" s="86">
        <v>90</v>
      </c>
      <c r="F53">
        <v>55</v>
      </c>
      <c r="G53">
        <v>406</v>
      </c>
      <c r="H53" s="88">
        <f t="shared" si="22"/>
        <v>7000</v>
      </c>
      <c r="J53">
        <f>IF(F53=Tecs,1,0)*IF(E53=Tprimaire,1,0)*IF('Ballons tampons instantané'!$G$4&gt;=Qmax,1,0)*IF(G53&gt;=$B$3,1,0)</f>
        <v>0</v>
      </c>
      <c r="N53">
        <f t="shared" si="18"/>
        <v>7</v>
      </c>
    </row>
    <row r="54" spans="1:14" x14ac:dyDescent="0.2">
      <c r="A54">
        <f t="shared" si="14"/>
        <v>4</v>
      </c>
      <c r="B54" s="63" t="s">
        <v>128</v>
      </c>
      <c r="C54">
        <v>0</v>
      </c>
      <c r="D54">
        <v>10.56</v>
      </c>
      <c r="E54" s="86">
        <v>90</v>
      </c>
      <c r="F54">
        <v>55</v>
      </c>
      <c r="G54">
        <v>548</v>
      </c>
      <c r="H54" s="88">
        <f t="shared" si="22"/>
        <v>9448</v>
      </c>
      <c r="J54">
        <f>IF(F54=Tecs,1,0)*IF(E54=Tprimaire,1,0)*IF('Ballons tampons instantané'!$G$4&gt;=Qmax,1,0)*IF(G54&gt;=$B$3,1,0)</f>
        <v>0</v>
      </c>
      <c r="N54">
        <f t="shared" si="18"/>
        <v>9.4480000000000004</v>
      </c>
    </row>
    <row r="55" spans="1:14" x14ac:dyDescent="0.2">
      <c r="A55">
        <f t="shared" si="14"/>
        <v>5</v>
      </c>
      <c r="B55" s="63" t="s">
        <v>26</v>
      </c>
      <c r="J55">
        <v>1</v>
      </c>
    </row>
  </sheetData>
  <dataValidations disablePrompts="1" count="1">
    <dataValidation type="list" allowBlank="1" showInputMessage="1" showErrorMessage="1" sqref="C25">
      <formula1>"90,80,70,60"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"/>
  <sheetViews>
    <sheetView workbookViewId="0">
      <selection activeCell="E11" sqref="E11"/>
    </sheetView>
  </sheetViews>
  <sheetFormatPr baseColWidth="10" defaultRowHeight="12.75" x14ac:dyDescent="0.2"/>
  <sheetData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40" sqref="A40"/>
    </sheetView>
  </sheetViews>
  <sheetFormatPr baseColWidth="10" defaultColWidth="37.85546875" defaultRowHeight="71.25" customHeight="1" x14ac:dyDescent="0.2"/>
  <sheetData>
    <row r="1" spans="1:3" ht="71.25" customHeight="1" x14ac:dyDescent="0.2">
      <c r="A1" s="63" t="s">
        <v>239</v>
      </c>
      <c r="C1">
        <f>+IF(OR('Tool ECS'!$D$52="FWS 750",'Tool ECS'!$D$52="FWS 1500"),1,IF(AND('Tool ECS'!D52="…",OR('Echangeurs à plaque'!B8='Echangeurs à plaque'!B28,'Echangeurs à plaque'!B8='Echangeurs à plaque'!B29)),1,2))</f>
        <v>2</v>
      </c>
    </row>
    <row r="2" spans="1:3" ht="71.25" customHeight="1" x14ac:dyDescent="0.2">
      <c r="A2" s="170" t="s">
        <v>237</v>
      </c>
      <c r="B2" s="171"/>
      <c r="C2" s="171">
        <v>1</v>
      </c>
    </row>
    <row r="3" spans="1:3" ht="71.25" customHeight="1" x14ac:dyDescent="0.2">
      <c r="A3" s="170" t="s">
        <v>238</v>
      </c>
      <c r="B3" s="171"/>
      <c r="C3" s="171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8"/>
  <sheetViews>
    <sheetView showGridLines="0" showRowColHeaders="0" workbookViewId="0">
      <selection activeCell="E27" sqref="E27"/>
    </sheetView>
  </sheetViews>
  <sheetFormatPr baseColWidth="10" defaultRowHeight="12.75" x14ac:dyDescent="0.2"/>
  <cols>
    <col min="1" max="1" width="3.140625" customWidth="1"/>
    <col min="2" max="2" width="38.42578125" bestFit="1" customWidth="1"/>
    <col min="3" max="3" width="40.5703125" customWidth="1"/>
    <col min="8" max="8" width="11.42578125" customWidth="1"/>
  </cols>
  <sheetData>
    <row r="2" spans="2:3" ht="27" x14ac:dyDescent="0.35">
      <c r="B2" s="269" t="s">
        <v>272</v>
      </c>
      <c r="C2" s="269"/>
    </row>
    <row r="4" spans="2:3" ht="13.5" thickBot="1" x14ac:dyDescent="0.25">
      <c r="B4" s="270" t="s">
        <v>273</v>
      </c>
      <c r="C4" s="270"/>
    </row>
    <row r="5" spans="2:3" ht="15.75" thickBot="1" x14ac:dyDescent="0.25">
      <c r="B5" s="177" t="s">
        <v>240</v>
      </c>
      <c r="C5" s="178" t="s">
        <v>241</v>
      </c>
    </row>
    <row r="6" spans="2:3" ht="15.75" thickBot="1" x14ac:dyDescent="0.25">
      <c r="B6" s="179" t="s">
        <v>242</v>
      </c>
      <c r="C6" s="180" t="s">
        <v>243</v>
      </c>
    </row>
    <row r="7" spans="2:3" ht="15.75" thickBot="1" x14ac:dyDescent="0.25">
      <c r="B7" s="179" t="s">
        <v>244</v>
      </c>
      <c r="C7" s="180" t="s">
        <v>243</v>
      </c>
    </row>
    <row r="8" spans="2:3" ht="15.75" thickBot="1" x14ac:dyDescent="0.25">
      <c r="B8" s="179" t="s">
        <v>245</v>
      </c>
      <c r="C8" s="180" t="s">
        <v>246</v>
      </c>
    </row>
    <row r="9" spans="2:3" ht="30.75" thickBot="1" x14ac:dyDescent="0.25">
      <c r="B9" s="179" t="s">
        <v>247</v>
      </c>
      <c r="C9" s="180" t="s">
        <v>248</v>
      </c>
    </row>
    <row r="10" spans="2:3" ht="15.75" thickBot="1" x14ac:dyDescent="0.25">
      <c r="B10" s="179" t="s">
        <v>249</v>
      </c>
      <c r="C10" s="180" t="s">
        <v>250</v>
      </c>
    </row>
    <row r="11" spans="2:3" ht="15.75" thickBot="1" x14ac:dyDescent="0.25">
      <c r="B11" s="179" t="s">
        <v>251</v>
      </c>
      <c r="C11" s="180" t="s">
        <v>248</v>
      </c>
    </row>
    <row r="12" spans="2:3" ht="15.75" thickBot="1" x14ac:dyDescent="0.25">
      <c r="B12" s="179" t="s">
        <v>252</v>
      </c>
      <c r="C12" s="180" t="s">
        <v>250</v>
      </c>
    </row>
    <row r="13" spans="2:3" ht="15.75" thickBot="1" x14ac:dyDescent="0.25">
      <c r="B13" s="179" t="s">
        <v>253</v>
      </c>
      <c r="C13" s="180" t="s">
        <v>254</v>
      </c>
    </row>
    <row r="14" spans="2:3" ht="15.75" thickBot="1" x14ac:dyDescent="0.25">
      <c r="B14" s="179" t="s">
        <v>255</v>
      </c>
      <c r="C14" s="180" t="s">
        <v>250</v>
      </c>
    </row>
    <row r="15" spans="2:3" ht="15.75" thickBot="1" x14ac:dyDescent="0.25">
      <c r="B15" s="179" t="s">
        <v>256</v>
      </c>
      <c r="C15" s="180" t="s">
        <v>257</v>
      </c>
    </row>
    <row r="17" spans="2:3" x14ac:dyDescent="0.2">
      <c r="B17" s="271" t="s">
        <v>274</v>
      </c>
      <c r="C17" s="272"/>
    </row>
    <row r="20" spans="2:3" x14ac:dyDescent="0.2">
      <c r="B20" s="271" t="s">
        <v>275</v>
      </c>
      <c r="C20" s="272"/>
    </row>
    <row r="33" spans="2:8" x14ac:dyDescent="0.2">
      <c r="B33" s="271" t="s">
        <v>276</v>
      </c>
      <c r="C33" s="272"/>
    </row>
    <row r="34" spans="2:8" ht="13.5" thickBot="1" x14ac:dyDescent="0.25"/>
    <row r="35" spans="2:8" ht="15.75" thickBot="1" x14ac:dyDescent="0.25">
      <c r="B35" s="273" t="s">
        <v>258</v>
      </c>
      <c r="C35" s="274"/>
      <c r="D35" s="274"/>
      <c r="E35" s="274"/>
      <c r="F35" s="274"/>
      <c r="G35" s="274"/>
      <c r="H35" s="275"/>
    </row>
    <row r="36" spans="2:8" ht="15.75" thickBot="1" x14ac:dyDescent="0.25">
      <c r="B36" s="181" t="s">
        <v>259</v>
      </c>
      <c r="C36" s="182" t="s">
        <v>260</v>
      </c>
      <c r="D36" s="182" t="s">
        <v>261</v>
      </c>
      <c r="E36" s="182" t="s">
        <v>262</v>
      </c>
      <c r="F36" s="182" t="s">
        <v>263</v>
      </c>
      <c r="G36" s="182" t="s">
        <v>264</v>
      </c>
      <c r="H36" s="182" t="s">
        <v>265</v>
      </c>
    </row>
    <row r="37" spans="2:8" ht="15.75" thickBot="1" x14ac:dyDescent="0.25">
      <c r="B37" s="181" t="s">
        <v>110</v>
      </c>
      <c r="C37" s="180">
        <v>60</v>
      </c>
      <c r="D37" s="180">
        <v>70</v>
      </c>
      <c r="E37" s="180">
        <v>100</v>
      </c>
      <c r="F37" s="180">
        <v>120</v>
      </c>
      <c r="G37" s="180">
        <v>150</v>
      </c>
      <c r="H37" s="180">
        <v>180</v>
      </c>
    </row>
    <row r="38" spans="2:8" ht="15.75" thickBot="1" x14ac:dyDescent="0.25">
      <c r="B38" s="181" t="s">
        <v>266</v>
      </c>
      <c r="C38" s="180">
        <v>8</v>
      </c>
      <c r="D38" s="180">
        <v>8</v>
      </c>
      <c r="E38" s="180">
        <v>12</v>
      </c>
      <c r="F38" s="180">
        <v>15</v>
      </c>
      <c r="G38" s="180">
        <v>20</v>
      </c>
      <c r="H38" s="180">
        <v>20</v>
      </c>
    </row>
    <row r="39" spans="2:8" ht="15.75" thickBot="1" x14ac:dyDescent="0.25">
      <c r="B39" s="181" t="s">
        <v>267</v>
      </c>
      <c r="C39" s="180">
        <v>4</v>
      </c>
      <c r="D39" s="180">
        <v>4</v>
      </c>
      <c r="E39" s="180">
        <v>4</v>
      </c>
      <c r="F39" s="180">
        <v>4</v>
      </c>
      <c r="G39" s="180">
        <v>4</v>
      </c>
      <c r="H39" s="180">
        <v>4</v>
      </c>
    </row>
    <row r="40" spans="2:8" ht="13.5" thickBot="1" x14ac:dyDescent="0.25"/>
    <row r="41" spans="2:8" ht="16.5" thickBot="1" x14ac:dyDescent="0.25">
      <c r="B41" s="267" t="s">
        <v>268</v>
      </c>
      <c r="C41" s="268"/>
    </row>
    <row r="42" spans="2:8" ht="16.5" thickBot="1" x14ac:dyDescent="0.25">
      <c r="B42" s="183" t="s">
        <v>269</v>
      </c>
      <c r="C42" s="184">
        <v>40</v>
      </c>
    </row>
    <row r="43" spans="2:8" ht="16.5" thickBot="1" x14ac:dyDescent="0.25">
      <c r="B43" s="183" t="s">
        <v>266</v>
      </c>
      <c r="C43" s="184">
        <v>10</v>
      </c>
    </row>
    <row r="44" spans="2:8" ht="13.5" thickBot="1" x14ac:dyDescent="0.25"/>
    <row r="45" spans="2:8" ht="16.5" thickBot="1" x14ac:dyDescent="0.25">
      <c r="B45" s="267" t="s">
        <v>270</v>
      </c>
      <c r="C45" s="268"/>
    </row>
    <row r="46" spans="2:8" ht="16.5" thickBot="1" x14ac:dyDescent="0.25">
      <c r="B46" s="183" t="s">
        <v>110</v>
      </c>
      <c r="C46" s="184">
        <v>60</v>
      </c>
    </row>
    <row r="47" spans="2:8" ht="17.25" thickBot="1" x14ac:dyDescent="0.25">
      <c r="B47" s="185"/>
    </row>
    <row r="48" spans="2:8" ht="16.5" thickBot="1" x14ac:dyDescent="0.25">
      <c r="B48" s="267" t="s">
        <v>271</v>
      </c>
      <c r="C48" s="268"/>
    </row>
    <row r="49" spans="2:3" ht="16.5" thickBot="1" x14ac:dyDescent="0.25">
      <c r="B49" s="183" t="s">
        <v>269</v>
      </c>
      <c r="C49" s="184">
        <v>70</v>
      </c>
    </row>
    <row r="50" spans="2:3" ht="16.5" thickBot="1" x14ac:dyDescent="0.25">
      <c r="B50" s="183" t="s">
        <v>266</v>
      </c>
      <c r="C50" s="184">
        <v>12</v>
      </c>
    </row>
    <row r="71" spans="2:3" ht="27" x14ac:dyDescent="0.35">
      <c r="B71" s="269" t="s">
        <v>277</v>
      </c>
      <c r="C71" s="269"/>
    </row>
    <row r="73" spans="2:3" x14ac:dyDescent="0.2">
      <c r="B73" s="187" t="s">
        <v>278</v>
      </c>
      <c r="C73" s="186"/>
    </row>
    <row r="76" spans="2:3" x14ac:dyDescent="0.2">
      <c r="B76" s="63" t="s">
        <v>279</v>
      </c>
    </row>
    <row r="79" spans="2:3" x14ac:dyDescent="0.2">
      <c r="B79" s="63" t="s">
        <v>280</v>
      </c>
    </row>
    <row r="81" spans="2:2" x14ac:dyDescent="0.2">
      <c r="B81" s="63" t="s">
        <v>281</v>
      </c>
    </row>
    <row r="84" spans="2:2" ht="15" x14ac:dyDescent="0.2">
      <c r="B84" s="176" t="s">
        <v>282</v>
      </c>
    </row>
    <row r="86" spans="2:2" x14ac:dyDescent="0.2">
      <c r="B86" s="63" t="s">
        <v>283</v>
      </c>
    </row>
    <row r="88" spans="2:2" x14ac:dyDescent="0.2">
      <c r="B88" s="63" t="s">
        <v>284</v>
      </c>
    </row>
    <row r="90" spans="2:2" x14ac:dyDescent="0.2">
      <c r="B90" s="63" t="s">
        <v>285</v>
      </c>
    </row>
    <row r="94" spans="2:2" x14ac:dyDescent="0.2">
      <c r="B94" s="63" t="s">
        <v>287</v>
      </c>
    </row>
    <row r="98" spans="2:5" x14ac:dyDescent="0.2">
      <c r="B98" s="63" t="s">
        <v>286</v>
      </c>
    </row>
    <row r="101" spans="2:5" x14ac:dyDescent="0.2">
      <c r="B101" s="63" t="s">
        <v>288</v>
      </c>
    </row>
    <row r="104" spans="2:5" x14ac:dyDescent="0.2">
      <c r="B104" s="63" t="s">
        <v>289</v>
      </c>
    </row>
    <row r="106" spans="2:5" x14ac:dyDescent="0.2">
      <c r="B106" s="63" t="s">
        <v>290</v>
      </c>
      <c r="E106" s="63" t="s">
        <v>292</v>
      </c>
    </row>
    <row r="108" spans="2:5" x14ac:dyDescent="0.2">
      <c r="B108" s="63" t="s">
        <v>291</v>
      </c>
    </row>
  </sheetData>
  <sheetProtection password="DB0F" sheet="1" objects="1" scenarios="1"/>
  <mergeCells count="10">
    <mergeCell ref="B41:C41"/>
    <mergeCell ref="B45:C45"/>
    <mergeCell ref="B48:C48"/>
    <mergeCell ref="B2:C2"/>
    <mergeCell ref="B71:C71"/>
    <mergeCell ref="B4:C4"/>
    <mergeCell ref="B17:C17"/>
    <mergeCell ref="B20:C20"/>
    <mergeCell ref="B33:C33"/>
    <mergeCell ref="B35:H3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5" sqref="C5"/>
    </sheetView>
  </sheetViews>
  <sheetFormatPr baseColWidth="10" defaultRowHeight="12.75" x14ac:dyDescent="0.2"/>
  <cols>
    <col min="1" max="1" width="23" style="171" customWidth="1"/>
    <col min="2" max="2" width="32.5703125" style="171" customWidth="1"/>
    <col min="3" max="3" width="129.85546875" style="171" customWidth="1"/>
    <col min="4" max="4" width="20.85546875" style="171" customWidth="1"/>
    <col min="5" max="16384" width="11.42578125" style="171"/>
  </cols>
  <sheetData>
    <row r="1" spans="1:4" x14ac:dyDescent="0.2">
      <c r="A1" s="199" t="s">
        <v>305</v>
      </c>
      <c r="B1" s="199" t="s">
        <v>306</v>
      </c>
      <c r="C1" s="199" t="s">
        <v>307</v>
      </c>
      <c r="D1" s="199" t="s">
        <v>310</v>
      </c>
    </row>
    <row r="2" spans="1:4" ht="25.5" customHeight="1" x14ac:dyDescent="0.2">
      <c r="A2" s="276">
        <v>42774</v>
      </c>
      <c r="B2" s="278" t="s">
        <v>308</v>
      </c>
      <c r="C2" s="278" t="s">
        <v>309</v>
      </c>
      <c r="D2" s="201" t="s">
        <v>311</v>
      </c>
    </row>
    <row r="3" spans="1:4" x14ac:dyDescent="0.2">
      <c r="A3" s="277"/>
      <c r="B3" s="279"/>
      <c r="C3" s="279"/>
      <c r="D3" s="201" t="s">
        <v>312</v>
      </c>
    </row>
    <row r="4" spans="1:4" x14ac:dyDescent="0.2">
      <c r="A4" s="200">
        <v>43038</v>
      </c>
      <c r="B4" s="201" t="s">
        <v>314</v>
      </c>
      <c r="C4" s="201" t="s">
        <v>316</v>
      </c>
      <c r="D4" s="201" t="s">
        <v>315</v>
      </c>
    </row>
    <row r="5" spans="1:4" x14ac:dyDescent="0.2">
      <c r="A5" s="201"/>
      <c r="B5" s="201"/>
      <c r="C5" s="201"/>
      <c r="D5" s="201"/>
    </row>
    <row r="6" spans="1:4" x14ac:dyDescent="0.2">
      <c r="A6" s="201"/>
      <c r="B6" s="201"/>
      <c r="C6" s="201"/>
      <c r="D6" s="201"/>
    </row>
    <row r="7" spans="1:4" x14ac:dyDescent="0.2">
      <c r="A7" s="201"/>
      <c r="B7" s="201"/>
      <c r="C7" s="201"/>
      <c r="D7" s="201"/>
    </row>
    <row r="8" spans="1:4" x14ac:dyDescent="0.2">
      <c r="A8" s="201"/>
      <c r="B8" s="201"/>
      <c r="C8" s="201"/>
      <c r="D8" s="201"/>
    </row>
    <row r="9" spans="1:4" x14ac:dyDescent="0.2">
      <c r="A9" s="201"/>
      <c r="B9" s="201"/>
      <c r="C9" s="201"/>
      <c r="D9" s="201"/>
    </row>
    <row r="10" spans="1:4" x14ac:dyDescent="0.2">
      <c r="A10" s="201"/>
      <c r="B10" s="201"/>
      <c r="C10" s="201"/>
      <c r="D10" s="201"/>
    </row>
    <row r="11" spans="1:4" x14ac:dyDescent="0.2">
      <c r="A11" s="201"/>
      <c r="B11" s="201"/>
      <c r="C11" s="201"/>
      <c r="D11" s="201"/>
    </row>
    <row r="12" spans="1:4" x14ac:dyDescent="0.2">
      <c r="A12" s="201"/>
      <c r="B12" s="201"/>
      <c r="C12" s="201"/>
      <c r="D12" s="201"/>
    </row>
    <row r="13" spans="1:4" x14ac:dyDescent="0.2">
      <c r="A13" s="201"/>
      <c r="B13" s="201"/>
      <c r="C13" s="201"/>
      <c r="D13" s="201"/>
    </row>
    <row r="14" spans="1:4" x14ac:dyDescent="0.2">
      <c r="A14" s="201"/>
      <c r="B14" s="201"/>
      <c r="C14" s="201"/>
      <c r="D14" s="201"/>
    </row>
    <row r="15" spans="1:4" x14ac:dyDescent="0.2">
      <c r="A15" s="201"/>
      <c r="B15" s="201"/>
      <c r="C15" s="201"/>
      <c r="D15" s="201"/>
    </row>
    <row r="16" spans="1:4" x14ac:dyDescent="0.2">
      <c r="A16" s="201"/>
      <c r="B16" s="201"/>
      <c r="C16" s="201"/>
      <c r="D16" s="201"/>
    </row>
    <row r="17" spans="1:4" x14ac:dyDescent="0.2">
      <c r="A17" s="201"/>
      <c r="B17" s="201"/>
      <c r="C17" s="201"/>
      <c r="D17" s="201"/>
    </row>
    <row r="18" spans="1:4" x14ac:dyDescent="0.2">
      <c r="A18" s="201"/>
      <c r="B18" s="201"/>
      <c r="C18" s="201"/>
      <c r="D18" s="201"/>
    </row>
    <row r="19" spans="1:4" x14ac:dyDescent="0.2">
      <c r="A19" s="201"/>
      <c r="B19" s="201"/>
      <c r="C19" s="201"/>
      <c r="D19" s="201"/>
    </row>
    <row r="20" spans="1:4" x14ac:dyDescent="0.2">
      <c r="A20" s="201"/>
      <c r="B20" s="201"/>
      <c r="C20" s="201"/>
      <c r="D20" s="201"/>
    </row>
    <row r="21" spans="1:4" x14ac:dyDescent="0.2">
      <c r="A21" s="201"/>
      <c r="B21" s="201"/>
      <c r="C21" s="201"/>
      <c r="D21" s="201"/>
    </row>
    <row r="22" spans="1:4" x14ac:dyDescent="0.2">
      <c r="A22" s="201"/>
      <c r="B22" s="201"/>
      <c r="C22" s="201"/>
      <c r="D22" s="201"/>
    </row>
    <row r="23" spans="1:4" x14ac:dyDescent="0.2">
      <c r="A23" s="201"/>
      <c r="B23" s="201"/>
      <c r="C23" s="201"/>
      <c r="D23" s="201"/>
    </row>
    <row r="24" spans="1:4" x14ac:dyDescent="0.2">
      <c r="A24" s="201"/>
      <c r="B24" s="201"/>
      <c r="C24" s="201"/>
      <c r="D24" s="201"/>
    </row>
    <row r="25" spans="1:4" x14ac:dyDescent="0.2">
      <c r="A25" s="201"/>
      <c r="B25" s="201"/>
      <c r="C25" s="201"/>
      <c r="D25" s="201"/>
    </row>
    <row r="26" spans="1:4" x14ac:dyDescent="0.2">
      <c r="A26" s="201"/>
      <c r="B26" s="201"/>
      <c r="C26" s="201"/>
      <c r="D26" s="201"/>
    </row>
    <row r="27" spans="1:4" x14ac:dyDescent="0.2">
      <c r="A27" s="201"/>
      <c r="B27" s="201"/>
      <c r="C27" s="201"/>
      <c r="D27" s="201"/>
    </row>
    <row r="28" spans="1:4" x14ac:dyDescent="0.2">
      <c r="A28" s="201"/>
      <c r="B28" s="201"/>
      <c r="C28" s="201"/>
      <c r="D28" s="201"/>
    </row>
    <row r="29" spans="1:4" x14ac:dyDescent="0.2">
      <c r="A29" s="201"/>
      <c r="B29" s="201"/>
      <c r="C29" s="201"/>
      <c r="D29" s="201"/>
    </row>
    <row r="30" spans="1:4" x14ac:dyDescent="0.2">
      <c r="A30" s="201"/>
      <c r="B30" s="201"/>
      <c r="C30" s="201"/>
      <c r="D30" s="201"/>
    </row>
    <row r="31" spans="1:4" x14ac:dyDescent="0.2">
      <c r="A31" s="201"/>
      <c r="B31" s="201"/>
      <c r="C31" s="201"/>
      <c r="D31" s="201"/>
    </row>
    <row r="32" spans="1:4" x14ac:dyDescent="0.2">
      <c r="A32" s="201"/>
      <c r="B32" s="201"/>
      <c r="C32" s="201"/>
      <c r="D32" s="201"/>
    </row>
    <row r="33" spans="1:4" x14ac:dyDescent="0.2">
      <c r="A33" s="201"/>
      <c r="B33" s="201"/>
      <c r="C33" s="201"/>
      <c r="D33" s="201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U97"/>
  <sheetViews>
    <sheetView showGridLines="0" showRowColHeaders="0" zoomScale="115" zoomScaleNormal="115" workbookViewId="0">
      <selection activeCell="B11" sqref="B11"/>
    </sheetView>
  </sheetViews>
  <sheetFormatPr baseColWidth="10" defaultColWidth="13.28515625" defaultRowHeight="19.5" customHeight="1" x14ac:dyDescent="0.2"/>
  <cols>
    <col min="1" max="1" width="5.140625" style="109" customWidth="1"/>
    <col min="2" max="2" width="14.42578125" style="109" customWidth="1"/>
    <col min="3" max="3" width="16.5703125" style="109" customWidth="1"/>
    <col min="4" max="4" width="15.42578125" style="109" customWidth="1"/>
    <col min="5" max="5" width="13.28515625" style="109"/>
    <col min="6" max="6" width="15.42578125" style="109" customWidth="1"/>
    <col min="7" max="7" width="2.5703125" style="109" bestFit="1" customWidth="1"/>
    <col min="8" max="8" width="15.42578125" style="109" customWidth="1"/>
    <col min="9" max="9" width="13.28515625" style="109" hidden="1" customWidth="1"/>
    <col min="10" max="10" width="13.7109375" style="109" hidden="1" customWidth="1"/>
    <col min="11" max="18" width="13.28515625" style="109" hidden="1" customWidth="1"/>
    <col min="19" max="22" width="13.28515625" style="109" customWidth="1"/>
    <col min="23" max="16384" width="13.28515625" style="109"/>
  </cols>
  <sheetData>
    <row r="1" spans="2:17" ht="24" customHeight="1" x14ac:dyDescent="0.2">
      <c r="H1" s="102">
        <f ca="1">TODAY()</f>
        <v>43069</v>
      </c>
    </row>
    <row r="2" spans="2:17" ht="27.75" customHeight="1" x14ac:dyDescent="0.2">
      <c r="C2" s="242" t="s">
        <v>217</v>
      </c>
      <c r="D2" s="242"/>
      <c r="E2" s="242"/>
    </row>
    <row r="3" spans="2:17" ht="27.75" customHeight="1" x14ac:dyDescent="0.2">
      <c r="B3" s="129" t="s">
        <v>151</v>
      </c>
    </row>
    <row r="4" spans="2:17" ht="15.75" customHeight="1" x14ac:dyDescent="0.2">
      <c r="B4" s="247"/>
      <c r="C4" s="247"/>
      <c r="D4" s="247"/>
      <c r="E4" s="247"/>
      <c r="F4" s="247"/>
      <c r="J4" s="125"/>
      <c r="K4" s="125"/>
      <c r="L4" s="125"/>
      <c r="M4" s="125"/>
    </row>
    <row r="5" spans="2:17" ht="15.75" customHeight="1" x14ac:dyDescent="0.2">
      <c r="B5" s="247"/>
      <c r="C5" s="247"/>
      <c r="D5" s="247"/>
      <c r="E5" s="247"/>
      <c r="F5" s="247"/>
      <c r="J5" s="125"/>
      <c r="K5" s="125"/>
      <c r="L5" s="125"/>
      <c r="M5" s="125"/>
    </row>
    <row r="6" spans="2:17" ht="15.75" customHeight="1" x14ac:dyDescent="0.2">
      <c r="B6" s="247"/>
      <c r="C6" s="247"/>
      <c r="D6" s="247"/>
      <c r="E6" s="247"/>
      <c r="F6" s="247"/>
      <c r="J6" s="125"/>
      <c r="K6" s="125"/>
      <c r="L6" s="125"/>
      <c r="M6" s="125"/>
      <c r="P6" s="222" t="s">
        <v>227</v>
      </c>
      <c r="Q6" s="222"/>
    </row>
    <row r="7" spans="2:17" ht="11.25" customHeight="1" x14ac:dyDescent="0.2"/>
    <row r="8" spans="2:17" ht="30.75" customHeight="1" x14ac:dyDescent="0.2">
      <c r="B8" s="113" t="s">
        <v>178</v>
      </c>
      <c r="C8" s="202" t="s">
        <v>56</v>
      </c>
      <c r="D8" s="103" t="str">
        <f>IF(C8="Usine","Ou équivalents (Casernes…)","")</f>
        <v/>
      </c>
      <c r="E8" s="113" t="s">
        <v>75</v>
      </c>
      <c r="F8" s="202" t="s">
        <v>76</v>
      </c>
      <c r="G8" s="101"/>
      <c r="P8" s="109" t="s">
        <v>218</v>
      </c>
      <c r="Q8" s="109">
        <f>IF(C8=Calculs!C3,1,0)</f>
        <v>0</v>
      </c>
    </row>
    <row r="9" spans="2:17" ht="10.5" customHeight="1" x14ac:dyDescent="0.2">
      <c r="B9" s="103"/>
      <c r="C9" s="103"/>
      <c r="D9" s="103"/>
      <c r="E9" s="103"/>
      <c r="F9" s="103"/>
      <c r="G9" s="103"/>
      <c r="H9" s="103"/>
    </row>
    <row r="10" spans="2:17" ht="34.5" customHeight="1" x14ac:dyDescent="0.2">
      <c r="B10" s="113" t="s">
        <v>179</v>
      </c>
      <c r="C10" s="103"/>
      <c r="D10" s="113" t="s">
        <v>154</v>
      </c>
      <c r="E10" s="103"/>
      <c r="F10" s="101" t="str">
        <f>IF(C8="collectif","Nombre de Logements :",IF(OR(C8="Hôtellerie",C8="EPHAD",C8="Internat"),"Nombre de Chambres :",IF(C8="Hôpitaux","Nombre de lits :",IF(C8="Camping","Nombre d'emplacements : ",IF(OR(C8="Usine",C8="Etablissement sportif"),"Nombre d'utilisateurs :",IF(C8="Restauration","Nombre de repas"))))))</f>
        <v>Nombre de Logements :</v>
      </c>
      <c r="G10" s="101"/>
      <c r="H10" s="101" t="str">
        <f>IF(C8="camping","Nombre de campeurs :",IF(C8="restauration","Nombre de couverts maxi (midi ou soir)"," "))</f>
        <v xml:space="preserve"> </v>
      </c>
      <c r="P10" s="109" t="s">
        <v>226</v>
      </c>
      <c r="Q10" s="109">
        <f>IF(C8=Calculs!C2,1,0)</f>
        <v>1</v>
      </c>
    </row>
    <row r="11" spans="2:17" ht="19.5" customHeight="1" x14ac:dyDescent="0.2">
      <c r="B11" s="202" t="s">
        <v>44</v>
      </c>
      <c r="C11" s="103"/>
      <c r="D11" s="202" t="s">
        <v>58</v>
      </c>
      <c r="E11" s="103"/>
      <c r="F11" s="202">
        <v>20</v>
      </c>
      <c r="G11" s="103"/>
      <c r="H11" s="110">
        <v>65</v>
      </c>
      <c r="P11" s="109" t="s">
        <v>219</v>
      </c>
      <c r="Q11" s="109">
        <f>IF(H10=" ",0,1)</f>
        <v>0</v>
      </c>
    </row>
    <row r="12" spans="2:17" ht="6" customHeight="1" x14ac:dyDescent="0.2">
      <c r="B12" s="103"/>
      <c r="C12" s="103"/>
      <c r="D12" s="103"/>
      <c r="E12" s="103"/>
      <c r="F12" s="103"/>
      <c r="G12" s="103"/>
      <c r="H12" s="103"/>
    </row>
    <row r="13" spans="2:17" ht="19.5" customHeight="1" x14ac:dyDescent="0.2">
      <c r="B13" s="202" t="s">
        <v>45</v>
      </c>
      <c r="C13" s="103"/>
      <c r="D13" s="202" t="s">
        <v>58</v>
      </c>
      <c r="E13" s="103"/>
      <c r="F13" s="202">
        <v>14</v>
      </c>
      <c r="P13" s="109" t="s">
        <v>220</v>
      </c>
      <c r="Q13" s="109">
        <f>IF(F11&lt;&gt;0,IF(C8=Calculs!C2,1,0),0)</f>
        <v>1</v>
      </c>
    </row>
    <row r="14" spans="2:17" ht="6" customHeight="1" x14ac:dyDescent="0.2">
      <c r="B14" s="103"/>
      <c r="C14" s="103"/>
      <c r="D14" s="103"/>
      <c r="E14" s="103"/>
      <c r="F14" s="103"/>
    </row>
    <row r="15" spans="2:17" ht="19.5" customHeight="1" x14ac:dyDescent="0.2">
      <c r="B15" s="202" t="s">
        <v>46</v>
      </c>
      <c r="C15" s="103"/>
      <c r="D15" s="202" t="s">
        <v>59</v>
      </c>
      <c r="E15" s="103"/>
      <c r="F15" s="202">
        <v>2</v>
      </c>
      <c r="P15" s="109" t="s">
        <v>221</v>
      </c>
      <c r="Q15" s="109">
        <f>IF(F13&lt;&gt;0,IF(C8=Calculs!C2,1,0),0)</f>
        <v>1</v>
      </c>
    </row>
    <row r="16" spans="2:17" ht="6" customHeight="1" x14ac:dyDescent="0.2">
      <c r="B16" s="103"/>
      <c r="C16" s="103"/>
      <c r="D16" s="103"/>
      <c r="E16" s="103"/>
      <c r="F16" s="103"/>
    </row>
    <row r="17" spans="1:17" ht="19.5" customHeight="1" x14ac:dyDescent="0.2">
      <c r="B17" s="202" t="s">
        <v>46</v>
      </c>
      <c r="C17" s="103"/>
      <c r="D17" s="202" t="s">
        <v>59</v>
      </c>
      <c r="E17" s="103"/>
      <c r="F17" s="202">
        <v>3</v>
      </c>
      <c r="P17" s="109" t="s">
        <v>222</v>
      </c>
      <c r="Q17" s="109">
        <f>IF(F15&lt;&gt;0,IF(C8=Calculs!C2,1,0),0)</f>
        <v>1</v>
      </c>
    </row>
    <row r="18" spans="1:17" ht="6" customHeight="1" x14ac:dyDescent="0.2">
      <c r="B18" s="103"/>
      <c r="C18" s="103"/>
      <c r="D18" s="103"/>
      <c r="E18" s="103"/>
      <c r="F18" s="103"/>
    </row>
    <row r="19" spans="1:17" ht="19.5" customHeight="1" x14ac:dyDescent="0.2">
      <c r="B19" s="202" t="s">
        <v>46</v>
      </c>
      <c r="C19" s="103"/>
      <c r="D19" s="202" t="s">
        <v>59</v>
      </c>
      <c r="E19" s="103"/>
      <c r="F19" s="202">
        <v>3</v>
      </c>
      <c r="P19" s="109" t="s">
        <v>223</v>
      </c>
      <c r="Q19" s="109">
        <f>IF(F17&lt;&gt;0,IF(C8=Calculs!C2,1,0),0)</f>
        <v>1</v>
      </c>
    </row>
    <row r="20" spans="1:17" ht="6" customHeight="1" x14ac:dyDescent="0.2">
      <c r="B20" s="103"/>
      <c r="C20" s="103"/>
      <c r="D20" s="103"/>
      <c r="E20" s="103"/>
      <c r="F20" s="103"/>
    </row>
    <row r="21" spans="1:17" ht="19.5" customHeight="1" x14ac:dyDescent="0.2">
      <c r="B21" s="202" t="s">
        <v>46</v>
      </c>
      <c r="C21" s="103"/>
      <c r="D21" s="202" t="s">
        <v>59</v>
      </c>
      <c r="E21" s="103"/>
      <c r="F21" s="202">
        <v>3</v>
      </c>
      <c r="P21" s="109" t="s">
        <v>224</v>
      </c>
      <c r="Q21" s="109">
        <f>IF(F19&lt;&gt;0,IF(C8=Calculs!C2,1,0),0)</f>
        <v>1</v>
      </c>
    </row>
    <row r="22" spans="1:17" ht="19.5" customHeight="1" x14ac:dyDescent="0.2">
      <c r="B22" s="103"/>
      <c r="C22" s="103"/>
      <c r="D22" s="103"/>
      <c r="E22" s="103"/>
      <c r="F22" s="103"/>
    </row>
    <row r="23" spans="1:17" ht="19.5" customHeight="1" x14ac:dyDescent="0.2">
      <c r="B23" s="243" t="s">
        <v>196</v>
      </c>
      <c r="C23" s="244"/>
      <c r="D23" s="110">
        <v>23</v>
      </c>
      <c r="P23" s="109" t="s">
        <v>225</v>
      </c>
      <c r="Q23" s="109">
        <f>+IF(OR(C8="Camping",C8="Etablissement Sportif",C8="Usine",C8="Bureau"),1,0)</f>
        <v>0</v>
      </c>
    </row>
    <row r="24" spans="1:17" ht="8.25" customHeight="1" x14ac:dyDescent="0.2">
      <c r="B24" s="103"/>
      <c r="C24" s="103"/>
      <c r="D24" s="103"/>
      <c r="E24" s="103"/>
      <c r="F24" s="103"/>
    </row>
    <row r="25" spans="1:17" ht="19.5" hidden="1" customHeight="1" x14ac:dyDescent="0.2">
      <c r="B25" s="103" t="s">
        <v>89</v>
      </c>
      <c r="C25" s="103">
        <f>+IF(OR(C8="Camping",C8="Etablissement Sportif",C8="Usine",C8="Bureau"),D23,0)</f>
        <v>0</v>
      </c>
      <c r="D25" s="103"/>
      <c r="E25" s="103" t="s">
        <v>92</v>
      </c>
      <c r="F25" s="103">
        <f>+IF(OR(C8="Camping",C8="Usine",C8="Bureau"),H11,IF(C8="Etablissement Sportif",F11,0))</f>
        <v>0</v>
      </c>
      <c r="G25" s="103"/>
      <c r="H25" s="103"/>
    </row>
    <row r="26" spans="1:17" ht="19.5" hidden="1" customHeight="1" x14ac:dyDescent="0.2">
      <c r="B26" s="103" t="s">
        <v>93</v>
      </c>
      <c r="C26" s="103">
        <f>+IF(C8="Restauration",H11,0)</f>
        <v>0</v>
      </c>
      <c r="D26" s="103"/>
      <c r="E26" s="103" t="s">
        <v>94</v>
      </c>
      <c r="F26" s="103">
        <f>+IF(C8="Restauration",H11,0)</f>
        <v>0</v>
      </c>
      <c r="G26" s="103"/>
      <c r="H26" s="103"/>
    </row>
    <row r="27" spans="1:17" ht="19.5" hidden="1" customHeight="1" x14ac:dyDescent="0.2">
      <c r="B27" s="103"/>
      <c r="C27" s="103"/>
      <c r="D27" s="103"/>
      <c r="E27" s="103"/>
      <c r="F27" s="103"/>
      <c r="G27" s="103"/>
      <c r="H27" s="103"/>
    </row>
    <row r="28" spans="1:17" ht="19.5" customHeight="1" x14ac:dyDescent="0.2">
      <c r="A28" s="104"/>
      <c r="B28" s="113" t="s">
        <v>123</v>
      </c>
      <c r="C28" s="202">
        <v>70</v>
      </c>
      <c r="D28" s="105" t="s">
        <v>7</v>
      </c>
      <c r="E28" s="113" t="s">
        <v>98</v>
      </c>
      <c r="F28" s="118">
        <v>60</v>
      </c>
      <c r="G28" s="104" t="s">
        <v>7</v>
      </c>
    </row>
    <row r="29" spans="1:17" ht="11.25" x14ac:dyDescent="0.2">
      <c r="A29" s="107"/>
      <c r="B29" s="107"/>
      <c r="C29" s="248" t="s">
        <v>367</v>
      </c>
      <c r="D29" s="248"/>
      <c r="E29" s="248"/>
      <c r="F29" s="248"/>
      <c r="G29" s="248"/>
      <c r="H29" s="248"/>
    </row>
    <row r="30" spans="1:17" s="195" customFormat="1" ht="11.25" x14ac:dyDescent="0.2">
      <c r="A30" s="196"/>
      <c r="B30" s="196"/>
      <c r="C30" s="248" t="s">
        <v>368</v>
      </c>
      <c r="D30" s="248"/>
      <c r="E30" s="248"/>
      <c r="F30" s="248"/>
      <c r="G30" s="248"/>
      <c r="H30" s="248"/>
    </row>
    <row r="31" spans="1:17" s="209" customFormat="1" ht="11.25" x14ac:dyDescent="0.2">
      <c r="A31" s="210"/>
      <c r="B31" s="210"/>
      <c r="C31" s="211"/>
      <c r="D31" s="211"/>
      <c r="E31" s="211"/>
      <c r="F31" s="211"/>
      <c r="G31" s="211"/>
      <c r="H31" s="211"/>
    </row>
    <row r="32" spans="1:17" s="195" customFormat="1" ht="22.5" x14ac:dyDescent="0.2">
      <c r="A32" s="196"/>
      <c r="B32" s="197" t="s">
        <v>313</v>
      </c>
      <c r="C32" s="203">
        <v>0</v>
      </c>
      <c r="D32" s="212" t="s">
        <v>5</v>
      </c>
      <c r="E32" s="198"/>
      <c r="F32" s="198"/>
      <c r="G32" s="103"/>
    </row>
    <row r="33" spans="1:18" ht="8.25" customHeight="1" x14ac:dyDescent="0.2">
      <c r="A33" s="107"/>
      <c r="B33" s="107"/>
      <c r="C33" s="107"/>
      <c r="D33" s="107"/>
      <c r="E33" s="107"/>
      <c r="F33" s="107"/>
      <c r="G33" s="103"/>
    </row>
    <row r="34" spans="1:18" ht="19.5" customHeight="1" x14ac:dyDescent="0.2">
      <c r="A34" s="245" t="s">
        <v>173</v>
      </c>
      <c r="B34" s="245"/>
      <c r="C34" s="245"/>
      <c r="D34" s="245"/>
      <c r="E34" s="245"/>
      <c r="F34" s="245"/>
      <c r="G34" s="245"/>
      <c r="H34" s="245"/>
    </row>
    <row r="35" spans="1:18" ht="9" customHeight="1" thickBot="1" x14ac:dyDescent="0.25">
      <c r="A35" s="107"/>
      <c r="B35" s="107"/>
      <c r="C35" s="107"/>
      <c r="D35" s="107"/>
      <c r="E35" s="107"/>
      <c r="F35" s="107"/>
      <c r="G35" s="103"/>
    </row>
    <row r="36" spans="1:18" ht="19.5" customHeight="1" thickBot="1" x14ac:dyDescent="0.25">
      <c r="A36" s="107"/>
      <c r="B36" s="230" t="s">
        <v>211</v>
      </c>
      <c r="C36" s="230"/>
      <c r="D36" s="112">
        <f>IF(C8="restauration"," ",VLOOKUP(C8,'Consommation journalière'!AD:AE,2,FALSE))</f>
        <v>31.4</v>
      </c>
      <c r="E36" s="115" t="s">
        <v>210</v>
      </c>
      <c r="F36" s="111">
        <f>IF(OR(C8="EPHAD",C8="Hôpitaux",C8="Collectif"),(1/(SQRT(N-1)))+0.17,IF(OR(C8="Internat",C8="Hôtellerie"),MAX(0.5,(1/(SQRT(N-1)))+0.17),IF(OR(C8="usine",C8="etablissement sportif",C8="Bureau",C8="Camping"),1,0)))</f>
        <v>0.35136906252750294</v>
      </c>
      <c r="G36" s="115"/>
      <c r="I36" s="246" t="s">
        <v>216</v>
      </c>
      <c r="J36" s="220"/>
      <c r="K36" s="220"/>
      <c r="L36" s="221"/>
    </row>
    <row r="37" spans="1:18" ht="9" customHeight="1" thickBot="1" x14ac:dyDescent="0.25">
      <c r="A37" s="107"/>
      <c r="B37" s="107"/>
      <c r="C37" s="107"/>
      <c r="D37" s="112"/>
      <c r="E37" s="115"/>
      <c r="F37" s="111"/>
      <c r="G37" s="115"/>
      <c r="I37" s="130"/>
      <c r="J37" s="188"/>
      <c r="K37" s="188"/>
      <c r="L37" s="189"/>
    </row>
    <row r="38" spans="1:18" ht="19.5" customHeight="1" thickBot="1" x14ac:dyDescent="0.25">
      <c r="A38" s="107"/>
      <c r="B38" s="230" t="str">
        <f>CONCATENATE("Consommation journalière d'ECS à ",Tecs,"°C")</f>
        <v>Consommation journalière d'ECS à 60°C</v>
      </c>
      <c r="C38" s="230"/>
      <c r="D38" s="101" t="s">
        <v>294</v>
      </c>
      <c r="E38" s="155">
        <f>IF(M38=1,J38,IF(C8="camping",MAX(12*H11,F11*'Consommation journalière'!B20),VLOOKUP(C8,'Consommation journalière'!AD:AF,3,FALSE)))</f>
        <v>3768</v>
      </c>
      <c r="F38" s="101"/>
      <c r="G38" s="103"/>
      <c r="I38" s="130" t="s">
        <v>296</v>
      </c>
      <c r="J38" s="204">
        <v>0</v>
      </c>
      <c r="K38" s="188" t="s">
        <v>300</v>
      </c>
      <c r="L38" s="192" t="s">
        <v>304</v>
      </c>
      <c r="M38" s="193">
        <f>IF(AND(J38&gt;0,J40&gt;0,J43&gt;0,J44&gt;0),1,0)</f>
        <v>0</v>
      </c>
    </row>
    <row r="39" spans="1:18" ht="9" customHeight="1" x14ac:dyDescent="0.2">
      <c r="A39" s="107"/>
      <c r="B39" s="131"/>
      <c r="C39" s="131"/>
      <c r="D39" s="131"/>
      <c r="E39" s="107"/>
      <c r="F39" s="107"/>
      <c r="G39" s="103"/>
      <c r="I39" s="130"/>
      <c r="J39" s="188"/>
      <c r="K39" s="188"/>
      <c r="L39" s="189"/>
    </row>
    <row r="40" spans="1:18" ht="15.75" customHeight="1" x14ac:dyDescent="0.2">
      <c r="A40" s="107"/>
      <c r="B40" s="230" t="str">
        <f>CONCATENATE("Débit Pointe Maximale:                         Soutirage simultané d'ECS à ",Tecs,"°C en 10mn ")</f>
        <v xml:space="preserve">Débit Pointe Maximale:                         Soutirage simultané d'ECS à 60°C en 10mn </v>
      </c>
      <c r="C40" s="230"/>
      <c r="D40" s="101" t="s">
        <v>293</v>
      </c>
      <c r="E40" s="155">
        <f>IF(M38=1,J40,IF(C8="restauration",MAX(C26,F26)*'Consommation journalière'!B32/6,IF(C8="collectif",40*N*S,IF(C25&lt;&gt;0,IF(40*C25*S&gt;Qj,Qj,40*C25*S),IF(F11&gt;0,IF(40*F11*S&gt;Qj,Qj,40*F11*S),40*N*S)))))</f>
        <v>441.3195425345437</v>
      </c>
      <c r="F40" s="101"/>
      <c r="G40" s="103"/>
      <c r="I40" s="130" t="s">
        <v>297</v>
      </c>
      <c r="J40" s="204">
        <v>0</v>
      </c>
      <c r="K40" s="188" t="s">
        <v>301</v>
      </c>
      <c r="L40" s="189"/>
    </row>
    <row r="41" spans="1:18" ht="15.75" customHeight="1" x14ac:dyDescent="0.2">
      <c r="A41" s="107"/>
      <c r="B41" s="230"/>
      <c r="C41" s="230"/>
      <c r="D41" s="101" t="s">
        <v>212</v>
      </c>
      <c r="E41" s="114">
        <f>1/6</f>
        <v>0.16666666666666666</v>
      </c>
      <c r="F41" s="107"/>
      <c r="G41" s="103"/>
      <c r="I41" s="130"/>
      <c r="J41" s="188"/>
      <c r="K41" s="188"/>
      <c r="L41" s="189"/>
    </row>
    <row r="42" spans="1:18" ht="9" customHeight="1" x14ac:dyDescent="0.2">
      <c r="A42" s="107"/>
      <c r="B42" s="107"/>
      <c r="C42" s="107"/>
      <c r="D42" s="107"/>
      <c r="E42" s="107"/>
      <c r="F42" s="107"/>
      <c r="G42" s="103"/>
      <c r="I42" s="130"/>
      <c r="J42" s="188"/>
      <c r="K42" s="188"/>
      <c r="L42" s="189"/>
    </row>
    <row r="43" spans="1:18" ht="15.75" customHeight="1" x14ac:dyDescent="0.2">
      <c r="A43" s="107"/>
      <c r="B43" s="230" t="str">
        <f>CONCATENATE("Débit Pluri Horaire:                                                    75% du volume journalier d'ECS à ",Tecs,"°C")</f>
        <v>Débit Pluri Horaire:                                                    75% du volume journalier d'ECS à 60°C</v>
      </c>
      <c r="C43" s="230"/>
      <c r="D43" s="101" t="s">
        <v>295</v>
      </c>
      <c r="E43" s="164">
        <f>IF(M38=1,J43,+Qj*0.75)</f>
        <v>2826</v>
      </c>
      <c r="F43" s="107"/>
      <c r="G43" s="103"/>
      <c r="I43" s="130" t="s">
        <v>298</v>
      </c>
      <c r="J43" s="204">
        <v>0</v>
      </c>
      <c r="K43" s="188" t="s">
        <v>302</v>
      </c>
      <c r="L43" s="189"/>
    </row>
    <row r="44" spans="1:18" ht="15.75" customHeight="1" thickBot="1" x14ac:dyDescent="0.25">
      <c r="A44" s="107"/>
      <c r="B44" s="230"/>
      <c r="C44" s="230"/>
      <c r="D44" s="101" t="s">
        <v>213</v>
      </c>
      <c r="E44" s="114">
        <f>IF(M38=1,J44,IF(OR(C8="Camping",C8="Bureau"),MIN((5*N^0.905/(15+N^0.92)),3),IF(OR(C8="Usine",C8="Etablissement Sportif",C8="Restauration"),1,IF(OR(C8="Hôtellerie",C8="Internat"),MIN((5*N^0.905/(15+N^0.92)),2),IF(C8="Collectif",MIN((5*N^0.905/(15+N^0.92)),3.5),IF(OR(C8="EPHAD",C8="Hôpitaux"),MIN((5*N^0.905/(15+N^0.92)),2.5)))))))</f>
        <v>2.9140198264886332</v>
      </c>
      <c r="F44" s="107"/>
      <c r="G44" s="103"/>
      <c r="I44" s="116" t="s">
        <v>299</v>
      </c>
      <c r="J44" s="205">
        <v>0</v>
      </c>
      <c r="K44" s="190" t="s">
        <v>303</v>
      </c>
      <c r="L44" s="191"/>
    </row>
    <row r="45" spans="1:18" ht="47.25" customHeight="1" thickBot="1" x14ac:dyDescent="0.25">
      <c r="A45" s="107"/>
      <c r="B45" s="107"/>
      <c r="C45" s="107"/>
      <c r="D45" s="101"/>
      <c r="E45" s="106"/>
      <c r="F45" s="107"/>
      <c r="G45" s="103"/>
    </row>
    <row r="46" spans="1:18" ht="19.5" customHeight="1" x14ac:dyDescent="0.2">
      <c r="A46" s="236" t="s">
        <v>174</v>
      </c>
      <c r="B46" s="237"/>
      <c r="C46" s="237"/>
      <c r="D46" s="237"/>
      <c r="E46" s="237"/>
      <c r="F46" s="237"/>
      <c r="G46" s="237"/>
      <c r="H46" s="238"/>
      <c r="I46" s="108"/>
      <c r="J46" s="108"/>
      <c r="K46" s="108"/>
      <c r="L46" s="108"/>
      <c r="M46" s="108"/>
      <c r="N46" s="108"/>
      <c r="O46" s="108"/>
      <c r="P46" s="108"/>
      <c r="Q46" s="108"/>
      <c r="R46" s="108"/>
    </row>
    <row r="47" spans="1:18" ht="19.5" customHeight="1" x14ac:dyDescent="0.2">
      <c r="A47" s="120"/>
      <c r="B47" s="230" t="s">
        <v>214</v>
      </c>
      <c r="C47" s="230"/>
      <c r="D47" s="230"/>
      <c r="E47" s="156">
        <f>+pw*cw*(Tecs-Tef)*Qmax/Tmax</f>
        <v>153.9763883903023</v>
      </c>
      <c r="F47" s="101"/>
      <c r="G47" s="103"/>
      <c r="H47" s="121"/>
    </row>
    <row r="48" spans="1:18" ht="19.5" customHeight="1" x14ac:dyDescent="0.2">
      <c r="A48" s="120"/>
      <c r="B48" s="230" t="s">
        <v>215</v>
      </c>
      <c r="C48" s="230"/>
      <c r="D48" s="230"/>
      <c r="E48" s="156">
        <f>IF((IF(D52="…",+pw*cw*(((Tecs-Tef)*Qmax/Tmax)-((Tprimaire-(VLOOKUP('Echangeurs à plaque'!B8,'Echangeurs à plaque'!B8:M17,12,FALSE)))*Vdifférence/Tmax)),+pw*cw*(((Tecs-Tef)*Qmax/Tmax)-((Tprimaire-(VLOOKUP(D52,'Echangeurs à plaque'!B8:M17,12,FALSE)))*Vdifférence/Tmax))))&gt;(E47/2),IF(D52="…",+pw*cw*(((Tecs-Tef)*Qmax/Tmax)-((Tprimaire-(VLOOKUP('Echangeurs à plaque'!B8,'Echangeurs à plaque'!B8:M17,12,FALSE)))*Vdifférence/Tmax)),+pw*cw*(((Tecs-Tef)*Qmax/Tmax)-((Tprimaire-(VLOOKUP(D52,'Echangeurs à plaque'!B8:M17,12,FALSE)))*Vdifférence/Tmax))),E47/2)</f>
        <v>138.80894374642321</v>
      </c>
      <c r="F48" s="101"/>
      <c r="G48" s="103"/>
      <c r="H48" s="121"/>
    </row>
    <row r="49" spans="1:14" ht="9.75" customHeight="1" x14ac:dyDescent="0.2">
      <c r="A49" s="120"/>
      <c r="B49" s="127"/>
      <c r="C49" s="127"/>
      <c r="D49" s="127"/>
      <c r="E49" s="127"/>
      <c r="F49" s="127"/>
      <c r="G49" s="103"/>
      <c r="H49" s="121"/>
    </row>
    <row r="50" spans="1:14" ht="30.75" customHeight="1" x14ac:dyDescent="0.2">
      <c r="A50" s="120"/>
      <c r="B50" s="227" t="str">
        <f>IF('Echangeurs à plaque'!B8="Hors Gamme","La Gamme Oertli ne permet pas de proposer une solution instantanée pour cette configuration.",IF(D52='Echangeurs à plaque'!B7,CONCATENATE("Oertli propose, en première approche d'installer ",'Echangeurs à plaque'!B8)," "))</f>
        <v xml:space="preserve"> </v>
      </c>
      <c r="C50" s="227"/>
      <c r="D50" s="227"/>
      <c r="E50" s="227"/>
      <c r="F50" s="227"/>
      <c r="G50" s="103"/>
      <c r="H50" s="121"/>
    </row>
    <row r="51" spans="1:14" ht="9.75" customHeight="1" thickBot="1" x14ac:dyDescent="0.25">
      <c r="A51" s="130"/>
      <c r="B51" s="127"/>
      <c r="C51" s="127"/>
      <c r="D51" s="127"/>
      <c r="E51" s="127"/>
      <c r="F51" s="127"/>
      <c r="G51" s="103"/>
      <c r="H51" s="121"/>
    </row>
    <row r="52" spans="1:14" ht="19.5" customHeight="1" thickBot="1" x14ac:dyDescent="0.25">
      <c r="A52" s="120"/>
      <c r="B52" s="115"/>
      <c r="C52" s="166" t="s">
        <v>148</v>
      </c>
      <c r="D52" s="202" t="s">
        <v>126</v>
      </c>
      <c r="E52" s="127"/>
      <c r="F52" s="222"/>
      <c r="G52" s="222"/>
      <c r="H52" s="223"/>
      <c r="I52" s="220" t="s">
        <v>216</v>
      </c>
      <c r="J52" s="220"/>
      <c r="K52" s="220"/>
      <c r="L52" s="221"/>
      <c r="M52" s="135"/>
    </row>
    <row r="53" spans="1:14" ht="18" customHeight="1" x14ac:dyDescent="0.2">
      <c r="A53" s="120"/>
      <c r="B53" s="166"/>
      <c r="C53" s="166" t="s">
        <v>149</v>
      </c>
      <c r="D53" s="118">
        <f>IFERROR(VLOOKUP(D52,'Echangeurs à plaque'!B8:L14,4,FALSE)," ")</f>
        <v>176</v>
      </c>
      <c r="E53" s="127" t="s">
        <v>5</v>
      </c>
      <c r="F53" s="222"/>
      <c r="G53" s="222"/>
      <c r="H53" s="223"/>
      <c r="I53" s="226" t="s">
        <v>164</v>
      </c>
      <c r="J53" s="226"/>
      <c r="K53" s="226"/>
      <c r="L53" s="133"/>
      <c r="M53" s="134"/>
    </row>
    <row r="54" spans="1:14" ht="21.75" customHeight="1" thickBot="1" x14ac:dyDescent="0.25">
      <c r="A54" s="122"/>
      <c r="B54" s="128"/>
      <c r="C54" s="165" t="str">
        <f>IF(OR(D52="FWS 750",D52="FWS 1500"),"Volume Stockage :","Volume Ballon Tampon primaire mini: ")</f>
        <v xml:space="preserve">Volume Ballon Tampon primaire mini: </v>
      </c>
      <c r="D54" s="123">
        <f>IF(D52="…",(IF(OR('Echangeurs à plaque'!B8="FWS 750",'Echangeurs à plaque'!B8="FWS 1500"),'Echangeurs à plaque'!C8,Vballonprimaire)),IF(OR('Tool ECS'!D52="FWS 750",'Tool ECS'!D52="FWS 1500"),IF('Tool ECS'!D52="FWS 750",700,1440),'Ballons tampons instantané'!G4))</f>
        <v>550</v>
      </c>
      <c r="E54" s="128" t="s">
        <v>91</v>
      </c>
      <c r="F54" s="224"/>
      <c r="G54" s="224"/>
      <c r="H54" s="225"/>
      <c r="I54" s="136" t="s">
        <v>163</v>
      </c>
      <c r="J54" s="206">
        <v>0</v>
      </c>
      <c r="K54" s="135" t="s">
        <v>10</v>
      </c>
      <c r="L54" s="228" t="s">
        <v>171</v>
      </c>
      <c r="M54" s="229"/>
    </row>
    <row r="55" spans="1:14" s="162" customFormat="1" ht="20.25" customHeight="1" thickBot="1" x14ac:dyDescent="0.25">
      <c r="A55" s="161"/>
      <c r="B55" s="161"/>
      <c r="C55" s="161"/>
      <c r="D55" s="161"/>
      <c r="E55" s="161"/>
      <c r="G55" s="103"/>
      <c r="I55" s="231" t="s">
        <v>235</v>
      </c>
      <c r="J55" s="232"/>
      <c r="K55" s="167">
        <f>Qmax</f>
        <v>441.3195425345437</v>
      </c>
      <c r="L55" s="168" t="s">
        <v>10</v>
      </c>
      <c r="M55" s="163"/>
    </row>
    <row r="56" spans="1:14" ht="18.75" hidden="1" customHeight="1" thickBot="1" x14ac:dyDescent="0.25">
      <c r="A56" s="107"/>
      <c r="B56" s="107"/>
      <c r="C56" s="107"/>
      <c r="D56" s="107"/>
      <c r="E56" s="107"/>
      <c r="F56" s="107"/>
      <c r="G56" s="103"/>
      <c r="I56" s="135"/>
      <c r="J56" s="169">
        <f>+IF(J54&lt;Qmax,'Ballons tampons instantané'!B4,J54)</f>
        <v>550</v>
      </c>
      <c r="K56" s="135" t="s">
        <v>10</v>
      </c>
      <c r="L56" s="135"/>
      <c r="M56" s="135"/>
    </row>
    <row r="57" spans="1:14" ht="18.75" customHeight="1" x14ac:dyDescent="0.2">
      <c r="A57" s="236" t="str">
        <f>IF(B71="La gamme Oertli ne permet pas de proposer une solution Semi-instantanée pour cette configuration.",A77,A68)</f>
        <v>Solution SEMI-ACCUMULEE</v>
      </c>
      <c r="B57" s="237"/>
      <c r="C57" s="237"/>
      <c r="D57" s="237"/>
      <c r="E57" s="237"/>
      <c r="F57" s="237"/>
      <c r="G57" s="237"/>
      <c r="H57" s="238"/>
    </row>
    <row r="58" spans="1:14" ht="18.75" customHeight="1" x14ac:dyDescent="0.2">
      <c r="A58" s="120"/>
      <c r="B58" s="230" t="str">
        <f>IF(A57=A68,"Puissance semi-instantanée calculée (kW) : ","Puissance semi-accumulée calculée (kW) : ")</f>
        <v xml:space="preserve">Puissance semi-accumulée calculée (kW) : </v>
      </c>
      <c r="C58" s="230"/>
      <c r="D58" s="230"/>
      <c r="E58" s="156" t="e">
        <f>IF(A57=A68,IF(pw*cw*(Tecs-Tef)*(Qmax-'Tool ECS'!D64)/Tmax&lt;pw*cw*(Tecs-Tef)*(Qph-'Tool ECS'!D64)/Tph,"ERREUR",pw*cw*(Tecs-Tef)*(Qmax-'Tool ECS'!D64)/Tmax),IF(A57=A77,IF(pw*cw*(Tecs-Tef)*(Qph-'Tool ECS'!D64)/Tph&lt;0,+pw*cw*(Tecs-Tef)*D64/7,pw*cw*(Tecs-Tef)*(Qph-'Tool ECS'!D64)/Tph+pw*cw*(Tecs-Tef)*D64/7)))*1.2+IF($C$32="",0,$C$32)</f>
        <v>#VALUE!</v>
      </c>
      <c r="F58" s="101" t="s">
        <v>5</v>
      </c>
      <c r="G58" s="103"/>
      <c r="H58" s="121"/>
    </row>
    <row r="59" spans="1:14" ht="10.5" customHeight="1" x14ac:dyDescent="0.2">
      <c r="A59" s="120"/>
      <c r="B59" s="127"/>
      <c r="C59" s="127"/>
      <c r="D59" s="127"/>
      <c r="E59" s="127"/>
      <c r="F59" s="127"/>
      <c r="G59" s="103"/>
      <c r="H59" s="121"/>
    </row>
    <row r="60" spans="1:14" ht="14.25" x14ac:dyDescent="0.2">
      <c r="A60" s="120"/>
      <c r="B60" s="227" t="str">
        <f>IF(D62="…",(IF(A57=A68,B71,IF(A57=A77,B80,"")))," ")</f>
        <v xml:space="preserve"> </v>
      </c>
      <c r="C60" s="227"/>
      <c r="D60" s="227"/>
      <c r="E60" s="227"/>
      <c r="F60" s="227"/>
      <c r="G60" s="103"/>
      <c r="H60" s="121"/>
    </row>
    <row r="61" spans="1:14" ht="6" customHeight="1" thickBot="1" x14ac:dyDescent="0.25">
      <c r="A61" s="120"/>
      <c r="B61" s="127"/>
      <c r="C61" s="127"/>
      <c r="D61" s="127"/>
      <c r="E61" s="127"/>
      <c r="F61" s="127"/>
      <c r="G61" s="103"/>
      <c r="H61" s="121"/>
    </row>
    <row r="62" spans="1:14" ht="18.75" customHeight="1" thickBot="1" x14ac:dyDescent="0.25">
      <c r="A62" s="120"/>
      <c r="B62" s="115"/>
      <c r="C62" s="166" t="s">
        <v>148</v>
      </c>
      <c r="D62" s="202" t="s">
        <v>324</v>
      </c>
      <c r="E62" s="127"/>
      <c r="F62" s="126"/>
      <c r="G62" s="103"/>
      <c r="H62" s="121"/>
      <c r="I62" s="220" t="s">
        <v>216</v>
      </c>
      <c r="J62" s="220"/>
      <c r="K62" s="220"/>
      <c r="L62" s="221"/>
    </row>
    <row r="63" spans="1:14" ht="22.5" x14ac:dyDescent="0.2">
      <c r="A63" s="120"/>
      <c r="B63" s="166"/>
      <c r="C63" s="166" t="s">
        <v>160</v>
      </c>
      <c r="D63" s="118" t="str">
        <f>IF(A57=A68,IFERROR(VLOOKUP(D62,'Préparateur indépendant semi in'!B8:J12,4,FALSE)," "),IFERROR(VLOOKUP(D62,'Préparateur indépendant sem ac'!B8:L17,4,FALSE)," "))</f>
        <v xml:space="preserve"> </v>
      </c>
      <c r="E63" s="127" t="s">
        <v>5</v>
      </c>
      <c r="F63" s="126"/>
      <c r="G63" s="103"/>
      <c r="H63" s="121"/>
      <c r="I63" s="226" t="s">
        <v>233</v>
      </c>
      <c r="J63" s="226"/>
      <c r="K63" s="226"/>
      <c r="L63" s="134"/>
      <c r="N63" s="109" t="s">
        <v>156</v>
      </c>
    </row>
    <row r="64" spans="1:14" ht="23.25" thickBot="1" x14ac:dyDescent="0.25">
      <c r="A64" s="122"/>
      <c r="B64" s="128"/>
      <c r="C64" s="165" t="s">
        <v>150</v>
      </c>
      <c r="D64" s="123" t="str">
        <f>IF(A57=A68,IFERROR(IF(D62="…",(IF('Préparateur indépendant semi in'!C8&gt;Qmax," ",'Préparateur indépendant semi in'!C8)),VLOOKUP(D62,'Préparateur indépendant semi in'!B8:J12,2,FALSE))," "),IFERROR(IF(D62="…",'Préparateur indépendant sem ac'!C8,(VLOOKUP(D62,'Préparateur indépendant sem ac'!B8:H17,2,FALSE)))," "))</f>
        <v xml:space="preserve"> </v>
      </c>
      <c r="E64" s="128" t="s">
        <v>91</v>
      </c>
      <c r="F64" s="117"/>
      <c r="G64" s="124"/>
      <c r="H64" s="119"/>
      <c r="I64" s="135" t="s">
        <v>163</v>
      </c>
      <c r="J64" s="206">
        <v>0</v>
      </c>
      <c r="K64" s="136" t="s">
        <v>10</v>
      </c>
      <c r="L64" s="153" t="s">
        <v>232</v>
      </c>
      <c r="N64" s="109" t="str">
        <f>IF($A$57=$A$68,'Préparateur indépendant semi in'!B8,'Préparateur indépendant sem ac'!B8)</f>
        <v>2 - OBPB 300</v>
      </c>
    </row>
    <row r="65" spans="1:14" ht="21" customHeight="1" thickBot="1" x14ac:dyDescent="0.25">
      <c r="A65" s="107"/>
      <c r="B65" s="107"/>
      <c r="C65" s="107"/>
      <c r="D65" s="107"/>
      <c r="E65" s="107"/>
      <c r="F65" s="107"/>
      <c r="G65" s="103"/>
      <c r="I65" s="231" t="s">
        <v>234</v>
      </c>
      <c r="J65" s="232"/>
      <c r="K65" s="153">
        <f>MAX(Qph,Qmax)</f>
        <v>2826</v>
      </c>
      <c r="L65" s="153" t="s">
        <v>10</v>
      </c>
      <c r="N65" s="109" t="str">
        <f>IF($A$57=$A$68,'Préparateur indépendant semi in'!B9,'Préparateur indépendant sem ac'!B9)</f>
        <v>OB 650</v>
      </c>
    </row>
    <row r="66" spans="1:14" ht="18.75" hidden="1" customHeight="1" x14ac:dyDescent="0.2">
      <c r="A66" s="107"/>
      <c r="B66" s="107"/>
      <c r="C66" s="107"/>
      <c r="D66" s="107"/>
      <c r="E66" s="107"/>
      <c r="F66" s="107"/>
      <c r="G66" s="103"/>
      <c r="N66" s="109" t="str">
        <f>IF($A$57=$A$68,'Préparateur indépendant semi in'!B10,'Préparateur indépendant sem ac'!B10)</f>
        <v>OB 800</v>
      </c>
    </row>
    <row r="67" spans="1:14" ht="18.75" hidden="1" customHeight="1" thickBot="1" x14ac:dyDescent="0.25">
      <c r="A67" s="256" t="s">
        <v>228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N67" s="109" t="str">
        <f>IF($A$57=$A$68,'Préparateur indépendant semi in'!B11,'Préparateur indépendant sem ac'!B11)</f>
        <v>2 - OBLC 400</v>
      </c>
    </row>
    <row r="68" spans="1:14" ht="19.5" hidden="1" customHeight="1" x14ac:dyDescent="0.2">
      <c r="A68" s="239" t="s">
        <v>175</v>
      </c>
      <c r="B68" s="240"/>
      <c r="C68" s="240"/>
      <c r="D68" s="240"/>
      <c r="E68" s="240"/>
      <c r="F68" s="240"/>
      <c r="G68" s="240"/>
      <c r="H68" s="241"/>
      <c r="I68" s="137"/>
      <c r="J68" s="137"/>
      <c r="K68" s="137"/>
      <c r="L68" s="138"/>
      <c r="N68" s="109" t="str">
        <f>IF($A$57=$A$68,'Préparateur indépendant semi in'!B12,'Préparateur indépendant sem ac'!B12)</f>
        <v>2 - OBPB 400</v>
      </c>
    </row>
    <row r="69" spans="1:14" ht="19.5" hidden="1" customHeight="1" x14ac:dyDescent="0.2">
      <c r="A69" s="139"/>
      <c r="B69" s="234" t="s">
        <v>100</v>
      </c>
      <c r="C69" s="234"/>
      <c r="D69" s="140" t="s">
        <v>162</v>
      </c>
      <c r="E69" s="141">
        <f>IF(IF('Préparateur indépendant semi in'!B8="Hors Gamme",0,IF('Tool ECS'!D73="…",pw*cw*(Tecs-Tef)*((Qmax-'Préparateur indépendant semi in'!B2)/Tmax),pw*cw*(Tecs-Tef)*((Qmax-'Tool ECS'!D75)/Tmax)))&lt;0,0,IF('Préparateur indépendant semi in'!B8="Hors Gamme",0,IF('Tool ECS'!D73="…",pw*cw*(Tecs-Tef)*((Qmax-'Préparateur indépendant semi in'!B2)/Tmax),pw*cw*(Tecs-Tef)*((Qmax-'Tool ECS'!D75)/Tmax))))</f>
        <v>0</v>
      </c>
      <c r="F69" s="140" t="s">
        <v>5</v>
      </c>
      <c r="G69" s="142"/>
      <c r="H69" s="143"/>
      <c r="I69" s="144"/>
      <c r="J69" s="144"/>
      <c r="K69" s="144"/>
      <c r="L69" s="143"/>
      <c r="N69" s="109" t="str">
        <f>IF($A$57=$A$68,'Préparateur indépendant semi in'!B13,'Préparateur indépendant sem ac'!B13)</f>
        <v>2 - OBLC 500</v>
      </c>
    </row>
    <row r="70" spans="1:14" ht="6" hidden="1" customHeight="1" x14ac:dyDescent="0.2">
      <c r="A70" s="139"/>
      <c r="B70" s="145"/>
      <c r="C70" s="145"/>
      <c r="D70" s="145"/>
      <c r="E70" s="145"/>
      <c r="F70" s="145"/>
      <c r="G70" s="142"/>
      <c r="H70" s="143"/>
      <c r="I70" s="233"/>
      <c r="J70" s="233"/>
      <c r="K70" s="233"/>
      <c r="L70" s="143"/>
      <c r="N70" s="109" t="str">
        <f>IF($A$57=$A$68,'Préparateur indépendant semi in'!B14,'Préparateur indépendant sem ac'!B14)</f>
        <v>3 - OBPB 300</v>
      </c>
    </row>
    <row r="71" spans="1:14" ht="18" hidden="1" customHeight="1" x14ac:dyDescent="0.2">
      <c r="A71" s="139"/>
      <c r="B71" s="257" t="str">
        <f>IF('Préparateur indépendant semi in'!B8="Hors Gamme","La gamme Oertli ne permet pas de proposer une solution Semi-instantanée pour cette configuration.",IF('Préparateur indépendant semi in'!D2=1,"La Gamme Oertli ne permet pas de proposer une solution Semi-Instantanée pour cette configuration.",CONCATENATE("Oertli propose,en première approche, d'installer ",IF('Tool ECS'!D73="…",'Préparateur indépendant semi in'!B8,'Tool ECS'!D73))))</f>
        <v>La gamme Oertli ne permet pas de proposer une solution Semi-instantanée pour cette configuration.</v>
      </c>
      <c r="C71" s="257"/>
      <c r="D71" s="257"/>
      <c r="E71" s="257"/>
      <c r="F71" s="257"/>
      <c r="G71" s="257"/>
      <c r="H71" s="143"/>
      <c r="I71" s="233"/>
      <c r="J71" s="233"/>
      <c r="K71" s="233"/>
      <c r="L71" s="143"/>
      <c r="N71" s="109" t="str">
        <f>IF($A$57=$A$68,'Préparateur indépendant semi in'!B15,'Préparateur indépendant sem ac'!B15)</f>
        <v>OB 1000</v>
      </c>
    </row>
    <row r="72" spans="1:14" ht="9.75" hidden="1" customHeight="1" x14ac:dyDescent="0.2">
      <c r="A72" s="139"/>
      <c r="B72" s="145"/>
      <c r="C72" s="145"/>
      <c r="D72" s="145"/>
      <c r="E72" s="145"/>
      <c r="F72" s="145"/>
      <c r="G72" s="142"/>
      <c r="H72" s="143"/>
      <c r="I72" s="144"/>
      <c r="J72" s="144"/>
      <c r="K72" s="144"/>
      <c r="L72" s="143"/>
    </row>
    <row r="73" spans="1:14" ht="11.25" hidden="1" customHeight="1" thickBot="1" x14ac:dyDescent="0.25">
      <c r="A73" s="139"/>
      <c r="B73" s="234" t="s">
        <v>148</v>
      </c>
      <c r="C73" s="235"/>
      <c r="D73" s="207" t="s">
        <v>156</v>
      </c>
      <c r="E73" s="145"/>
      <c r="F73" s="144"/>
      <c r="G73" s="142"/>
      <c r="H73" s="143"/>
      <c r="I73" s="144"/>
      <c r="J73" s="144"/>
      <c r="K73" s="144"/>
      <c r="L73" s="143"/>
    </row>
    <row r="74" spans="1:14" ht="11.25" hidden="1" customHeight="1" x14ac:dyDescent="0.2">
      <c r="A74" s="139"/>
      <c r="B74" s="234" t="s">
        <v>160</v>
      </c>
      <c r="C74" s="234"/>
      <c r="D74" s="146" t="str">
        <f>IFERROR(VLOOKUP(D73,'Préparateur indépendant semi in'!B8:J12,4,FALSE)," ")</f>
        <v xml:space="preserve"> </v>
      </c>
      <c r="E74" s="145" t="s">
        <v>5</v>
      </c>
      <c r="F74" s="144"/>
      <c r="G74" s="142"/>
      <c r="H74" s="143"/>
      <c r="I74" s="251" t="s">
        <v>165</v>
      </c>
      <c r="J74" s="251"/>
      <c r="K74" s="251"/>
      <c r="L74" s="138"/>
    </row>
    <row r="75" spans="1:14" ht="11.25" hidden="1" customHeight="1" thickBot="1" x14ac:dyDescent="0.25">
      <c r="A75" s="139"/>
      <c r="B75" s="234" t="s">
        <v>150</v>
      </c>
      <c r="C75" s="234"/>
      <c r="D75" s="146">
        <f>IFERROR(IF(D73="…",(IF('Préparateur indépendant semi in'!C8&gt;Qmax," ",'Préparateur indépendant semi in'!C8)),VLOOKUP(D73,'Préparateur indépendant semi in'!B8:J12,2,FALSE))," ")</f>
        <v>0</v>
      </c>
      <c r="E75" s="145" t="s">
        <v>91</v>
      </c>
      <c r="F75" s="144"/>
      <c r="G75" s="142"/>
      <c r="H75" s="143"/>
      <c r="I75" s="147" t="s">
        <v>163</v>
      </c>
      <c r="J75" s="208">
        <f>+J64</f>
        <v>0</v>
      </c>
      <c r="K75" s="147" t="s">
        <v>10</v>
      </c>
      <c r="L75" s="154" t="s">
        <v>168</v>
      </c>
    </row>
    <row r="76" spans="1:14" ht="10.5" hidden="1" customHeight="1" x14ac:dyDescent="0.2">
      <c r="A76" s="139"/>
      <c r="B76" s="145"/>
      <c r="C76" s="145"/>
      <c r="D76" s="145"/>
      <c r="E76" s="145"/>
      <c r="F76" s="145"/>
      <c r="G76" s="142"/>
      <c r="H76" s="143"/>
      <c r="I76" s="157" t="s">
        <v>229</v>
      </c>
      <c r="J76" s="158">
        <f>Qmax</f>
        <v>441.3195425345437</v>
      </c>
      <c r="K76" s="157" t="s">
        <v>10</v>
      </c>
      <c r="L76" s="159"/>
    </row>
    <row r="77" spans="1:14" ht="19.5" hidden="1" customHeight="1" x14ac:dyDescent="0.2">
      <c r="A77" s="252" t="s">
        <v>176</v>
      </c>
      <c r="B77" s="253"/>
      <c r="C77" s="253"/>
      <c r="D77" s="253"/>
      <c r="E77" s="253"/>
      <c r="F77" s="253"/>
      <c r="G77" s="253"/>
      <c r="H77" s="254"/>
      <c r="I77" s="144"/>
      <c r="J77" s="144"/>
      <c r="K77" s="144"/>
      <c r="L77" s="143"/>
    </row>
    <row r="78" spans="1:14" ht="19.5" hidden="1" customHeight="1" x14ac:dyDescent="0.2">
      <c r="A78" s="139"/>
      <c r="B78" s="234" t="s">
        <v>102</v>
      </c>
      <c r="C78" s="234"/>
      <c r="D78" s="140" t="s">
        <v>162</v>
      </c>
      <c r="E78" s="141">
        <f>IF(D82='Préparateur indépendant sem ac'!B7,(IF(Qph-'Préparateur indépendant sem ac'!C8&lt;0,(pw*cw*(Tecs-Tef)*'Préparateur indépendant sem ac'!C8/7),(pw*cw*(Tecs-Tef)*(Qph-'Préparateur indépendant sem ac'!C8)/Tph)+(pw*cw*(Tecs-Tef)*'Préparateur indépendant sem ac'!C8/7))),IF((Qph-D84)&gt;0,(pw*cw*(Tecs-Tef)*(Qph-D84)/Tph)+(pw*cw*(Tecs-Tef)*D84/7),pw*cw*(Tecs-Tef)*D84/7))</f>
        <v>49.637638871820876</v>
      </c>
      <c r="F78" s="140" t="s">
        <v>5</v>
      </c>
      <c r="G78" s="142"/>
      <c r="H78" s="143"/>
      <c r="I78" s="144"/>
      <c r="J78" s="144"/>
      <c r="K78" s="144"/>
      <c r="L78" s="143"/>
    </row>
    <row r="79" spans="1:14" ht="6" hidden="1" customHeight="1" x14ac:dyDescent="0.2">
      <c r="A79" s="139"/>
      <c r="B79" s="145"/>
      <c r="C79" s="145"/>
      <c r="D79" s="145"/>
      <c r="E79" s="145"/>
      <c r="F79" s="145"/>
      <c r="G79" s="142"/>
      <c r="H79" s="143"/>
      <c r="I79" s="144"/>
      <c r="J79" s="144"/>
      <c r="K79" s="144"/>
      <c r="L79" s="143"/>
    </row>
    <row r="80" spans="1:14" ht="18" hidden="1" customHeight="1" x14ac:dyDescent="0.2">
      <c r="A80" s="139"/>
      <c r="B80" s="234" t="str">
        <f>IF('Préparateur indépendant sem ac'!B8='Préparateur indépendant sem ac'!M1,"La gamme Oertli ne permet pas de proposer une solution Semi-accumulée pour cette configuration",IF(D82='Préparateur indépendant sem ac'!B7,CONCATENATE("Oertli propose,en première approche, d'installer ",'Préparateur indépendant sem ac'!B8,".")," "))</f>
        <v>Oertli propose,en première approche, d'installer 2 - OBPB 300.</v>
      </c>
      <c r="C80" s="234"/>
      <c r="D80" s="234"/>
      <c r="E80" s="234"/>
      <c r="F80" s="234"/>
      <c r="G80" s="142"/>
      <c r="H80" s="143"/>
      <c r="I80" s="144"/>
      <c r="J80" s="144"/>
      <c r="K80" s="144"/>
      <c r="L80" s="143"/>
    </row>
    <row r="81" spans="1:21" ht="9.75" hidden="1" customHeight="1" x14ac:dyDescent="0.2">
      <c r="A81" s="139"/>
      <c r="B81" s="145"/>
      <c r="C81" s="145"/>
      <c r="D81" s="145"/>
      <c r="E81" s="145"/>
      <c r="F81" s="145"/>
      <c r="G81" s="142"/>
      <c r="H81" s="143"/>
      <c r="I81" s="144"/>
      <c r="J81" s="144"/>
      <c r="K81" s="144"/>
      <c r="L81" s="143"/>
    </row>
    <row r="82" spans="1:21" ht="11.25" hidden="1" customHeight="1" thickBot="1" x14ac:dyDescent="0.25">
      <c r="A82" s="139"/>
      <c r="B82" s="234" t="s">
        <v>148</v>
      </c>
      <c r="C82" s="235"/>
      <c r="D82" s="207" t="s">
        <v>156</v>
      </c>
      <c r="E82" s="145"/>
      <c r="F82" s="144"/>
      <c r="G82" s="142"/>
      <c r="H82" s="143"/>
      <c r="I82" s="144"/>
      <c r="J82" s="144"/>
      <c r="K82" s="144"/>
      <c r="L82" s="143"/>
    </row>
    <row r="83" spans="1:21" ht="11.25" hidden="1" customHeight="1" x14ac:dyDescent="0.2">
      <c r="A83" s="139"/>
      <c r="B83" s="234" t="s">
        <v>149</v>
      </c>
      <c r="C83" s="234"/>
      <c r="D83" s="146" t="str">
        <f>IFERROR(VLOOKUP(D82,'Préparateur indépendant sem ac'!B8:L17,4,FALSE)," ")</f>
        <v xml:space="preserve"> </v>
      </c>
      <c r="E83" s="145" t="s">
        <v>5</v>
      </c>
      <c r="F83" s="144"/>
      <c r="G83" s="142"/>
      <c r="H83" s="143"/>
      <c r="I83" s="251" t="s">
        <v>166</v>
      </c>
      <c r="J83" s="251"/>
      <c r="K83" s="251"/>
      <c r="L83" s="138"/>
    </row>
    <row r="84" spans="1:21" ht="11.25" hidden="1" customHeight="1" thickBot="1" x14ac:dyDescent="0.25">
      <c r="A84" s="149"/>
      <c r="B84" s="255" t="s">
        <v>153</v>
      </c>
      <c r="C84" s="255"/>
      <c r="D84" s="150">
        <f>IFERROR(IF(D82="…",'Préparateur indépendant sem ac'!C8,(VLOOKUP(D82,'Préparateur indépendant sem ac'!B8:H17,2,FALSE)))," ")</f>
        <v>580</v>
      </c>
      <c r="E84" s="151" t="s">
        <v>91</v>
      </c>
      <c r="F84" s="147"/>
      <c r="G84" s="152"/>
      <c r="H84" s="148"/>
      <c r="I84" s="147" t="s">
        <v>163</v>
      </c>
      <c r="J84" s="208">
        <f>+J64</f>
        <v>0</v>
      </c>
      <c r="K84" s="147" t="s">
        <v>10</v>
      </c>
      <c r="L84" s="154" t="s">
        <v>169</v>
      </c>
    </row>
    <row r="85" spans="1:21" s="132" customFormat="1" ht="18" hidden="1" customHeight="1" x14ac:dyDescent="0.2">
      <c r="A85" s="145"/>
      <c r="B85" s="145"/>
      <c r="C85" s="145"/>
      <c r="D85" s="160"/>
      <c r="E85" s="145"/>
      <c r="F85" s="144"/>
      <c r="G85" s="142"/>
      <c r="H85" s="144"/>
      <c r="I85" s="157" t="s">
        <v>230</v>
      </c>
      <c r="J85" s="158">
        <f>Qmax</f>
        <v>441.3195425345437</v>
      </c>
      <c r="K85" s="157" t="s">
        <v>231</v>
      </c>
      <c r="L85" s="157">
        <f>Qph</f>
        <v>2826</v>
      </c>
    </row>
    <row r="86" spans="1:21" ht="11.25" hidden="1" customHeight="1" x14ac:dyDescent="0.2">
      <c r="O86" s="107"/>
      <c r="P86" s="107"/>
      <c r="Q86" s="107"/>
      <c r="R86" s="107"/>
      <c r="S86" s="107"/>
      <c r="T86" s="107"/>
      <c r="U86" s="103"/>
    </row>
    <row r="87" spans="1:21" ht="19.5" hidden="1" customHeight="1" thickBot="1" x14ac:dyDescent="0.25">
      <c r="O87" s="107"/>
      <c r="P87" s="230" t="s">
        <v>103</v>
      </c>
      <c r="Q87" s="230"/>
      <c r="R87" s="107" t="s">
        <v>104</v>
      </c>
      <c r="S87" s="107">
        <v>0</v>
      </c>
      <c r="T87" s="107" t="s">
        <v>5</v>
      </c>
      <c r="U87" s="103"/>
    </row>
    <row r="88" spans="1:21" ht="19.5" customHeight="1" x14ac:dyDescent="0.2">
      <c r="A88" s="236" t="s">
        <v>177</v>
      </c>
      <c r="B88" s="237"/>
      <c r="C88" s="237"/>
      <c r="D88" s="237"/>
      <c r="E88" s="237"/>
      <c r="F88" s="237"/>
      <c r="G88" s="237"/>
      <c r="H88" s="238"/>
      <c r="O88" s="107"/>
      <c r="U88" s="103"/>
    </row>
    <row r="89" spans="1:21" ht="26.25" customHeight="1" x14ac:dyDescent="0.2">
      <c r="A89" s="130"/>
      <c r="B89" s="230" t="s">
        <v>236</v>
      </c>
      <c r="C89" s="230"/>
      <c r="D89" s="230"/>
      <c r="E89" s="156" t="e">
        <f>IF('Prep independant pour accumulat'!B8="Hors Gamme",0,IF('Tool ECS'!D93='Prep independant pour accumulat'!B7,+pw*cw*(Tecs-Tef)*'Prep independant pour accumulat'!C8/7,pw*cw*(Tecs-Tef)*'Tool ECS'!D95/7))+IF($C$32="",0,$C$32)</f>
        <v>#VALUE!</v>
      </c>
      <c r="F89" s="101" t="s">
        <v>5</v>
      </c>
      <c r="G89" s="126"/>
      <c r="H89" s="121"/>
      <c r="O89" s="107"/>
      <c r="U89" s="103"/>
    </row>
    <row r="90" spans="1:21" ht="9.75" customHeight="1" x14ac:dyDescent="0.2">
      <c r="A90" s="130"/>
      <c r="B90" s="127"/>
      <c r="C90" s="127"/>
      <c r="D90" s="127"/>
      <c r="E90" s="127"/>
      <c r="F90" s="127"/>
      <c r="G90" s="126"/>
      <c r="H90" s="121"/>
      <c r="O90" s="107"/>
      <c r="U90" s="103"/>
    </row>
    <row r="91" spans="1:21" ht="25.5" customHeight="1" x14ac:dyDescent="0.2">
      <c r="A91" s="130"/>
      <c r="B91" s="227" t="str">
        <f>IF('Prep independant pour accumulat'!B8='Prep independant pour accumulat'!M2,"La gamme Oertli ne permet pas de proposer une solution accumulée à la configuration proposée.",IF(D93='Prep independant pour accumulat'!B7,CONCATENATE("Oertli propose, en première approche, d'installer ",'Prep independant pour accumulat'!B8,". "),""))</f>
        <v/>
      </c>
      <c r="C91" s="227"/>
      <c r="D91" s="227"/>
      <c r="E91" s="227"/>
      <c r="F91" s="227"/>
      <c r="G91" s="126"/>
      <c r="H91" s="121"/>
      <c r="I91" s="135"/>
      <c r="J91" s="135"/>
      <c r="K91" s="135"/>
      <c r="L91" s="135"/>
      <c r="O91" s="107"/>
      <c r="U91" s="103"/>
    </row>
    <row r="92" spans="1:21" ht="9.75" customHeight="1" thickBot="1" x14ac:dyDescent="0.25">
      <c r="A92" s="130"/>
      <c r="B92" s="127"/>
      <c r="C92" s="127"/>
      <c r="D92" s="127"/>
      <c r="E92" s="127"/>
      <c r="F92" s="127"/>
      <c r="G92" s="126"/>
      <c r="H92" s="121"/>
      <c r="I92" s="135"/>
      <c r="J92" s="135"/>
      <c r="K92" s="135"/>
      <c r="L92" s="135"/>
      <c r="O92" s="107"/>
      <c r="U92" s="103"/>
    </row>
    <row r="93" spans="1:21" ht="19.5" customHeight="1" thickBot="1" x14ac:dyDescent="0.25">
      <c r="A93" s="130"/>
      <c r="C93" s="166" t="s">
        <v>148</v>
      </c>
      <c r="D93" s="202" t="s">
        <v>326</v>
      </c>
      <c r="E93" s="127"/>
      <c r="F93" s="126"/>
      <c r="G93" s="126"/>
      <c r="H93" s="121"/>
      <c r="I93" s="220" t="s">
        <v>216</v>
      </c>
      <c r="J93" s="220"/>
      <c r="K93" s="220"/>
      <c r="L93" s="221"/>
      <c r="O93" s="107"/>
      <c r="U93" s="103"/>
    </row>
    <row r="94" spans="1:21" ht="19.5" customHeight="1" x14ac:dyDescent="0.2">
      <c r="A94" s="130"/>
      <c r="C94" s="166" t="s">
        <v>149</v>
      </c>
      <c r="D94" s="118" t="str">
        <f>IFERROR(VLOOKUP('Tool ECS'!D93,'Prep independant pour accumulat'!B8:H14,4,FALSE)," ")</f>
        <v xml:space="preserve"> </v>
      </c>
      <c r="E94" s="127" t="s">
        <v>5</v>
      </c>
      <c r="F94" s="126"/>
      <c r="G94" s="126"/>
      <c r="H94" s="121"/>
      <c r="I94" s="226" t="s">
        <v>167</v>
      </c>
      <c r="J94" s="226"/>
      <c r="K94" s="226"/>
      <c r="L94" s="134"/>
      <c r="O94" s="107"/>
      <c r="U94" s="103"/>
    </row>
    <row r="95" spans="1:21" ht="19.5" customHeight="1" thickBot="1" x14ac:dyDescent="0.25">
      <c r="A95" s="116"/>
      <c r="B95" s="117"/>
      <c r="C95" s="165" t="s">
        <v>153</v>
      </c>
      <c r="D95" s="123" t="str">
        <f>IFERROR(IF(D93="…",'Prep independant pour accumulat'!C8,VLOOKUP(D93,'Prep independant pour accumulat'!B8:H13,2,FALSE))," ")</f>
        <v xml:space="preserve"> </v>
      </c>
      <c r="E95" s="128" t="s">
        <v>91</v>
      </c>
      <c r="F95" s="117"/>
      <c r="G95" s="117"/>
      <c r="H95" s="119"/>
      <c r="I95" s="136" t="s">
        <v>163</v>
      </c>
      <c r="J95" s="205">
        <v>0</v>
      </c>
      <c r="K95" s="136" t="s">
        <v>10</v>
      </c>
      <c r="L95" s="153" t="s">
        <v>170</v>
      </c>
      <c r="O95" s="107"/>
      <c r="U95" s="103"/>
    </row>
    <row r="96" spans="1:21" ht="19.5" customHeight="1" x14ac:dyDescent="0.2">
      <c r="A96" s="249" t="s">
        <v>317</v>
      </c>
      <c r="B96" s="249"/>
      <c r="C96" s="249"/>
      <c r="D96" s="249"/>
      <c r="E96" s="249"/>
      <c r="F96" s="249"/>
      <c r="G96" s="249"/>
      <c r="H96" s="249"/>
    </row>
    <row r="97" spans="1:8" ht="19.5" customHeight="1" x14ac:dyDescent="0.2">
      <c r="A97" s="250"/>
      <c r="B97" s="250"/>
      <c r="C97" s="250"/>
      <c r="D97" s="250"/>
      <c r="E97" s="250"/>
      <c r="F97" s="250"/>
      <c r="G97" s="250"/>
      <c r="H97" s="250"/>
    </row>
  </sheetData>
  <sheetProtection password="DB0F" sheet="1" objects="1" scenarios="1"/>
  <mergeCells count="52">
    <mergeCell ref="A96:H97"/>
    <mergeCell ref="P6:Q6"/>
    <mergeCell ref="I74:K74"/>
    <mergeCell ref="I83:K83"/>
    <mergeCell ref="I94:K94"/>
    <mergeCell ref="B69:C69"/>
    <mergeCell ref="B73:C73"/>
    <mergeCell ref="P87:Q87"/>
    <mergeCell ref="A77:H77"/>
    <mergeCell ref="A88:H88"/>
    <mergeCell ref="B83:C83"/>
    <mergeCell ref="B84:C84"/>
    <mergeCell ref="B80:F80"/>
    <mergeCell ref="A67:L67"/>
    <mergeCell ref="B71:G71"/>
    <mergeCell ref="I63:K63"/>
    <mergeCell ref="I52:L52"/>
    <mergeCell ref="C2:E2"/>
    <mergeCell ref="B23:C23"/>
    <mergeCell ref="A34:H34"/>
    <mergeCell ref="A46:H46"/>
    <mergeCell ref="I36:L36"/>
    <mergeCell ref="B4:F4"/>
    <mergeCell ref="B5:F5"/>
    <mergeCell ref="B6:F6"/>
    <mergeCell ref="C30:H30"/>
    <mergeCell ref="C29:H29"/>
    <mergeCell ref="B75:C75"/>
    <mergeCell ref="A68:H68"/>
    <mergeCell ref="B47:D47"/>
    <mergeCell ref="B48:D48"/>
    <mergeCell ref="B36:C36"/>
    <mergeCell ref="B38:C38"/>
    <mergeCell ref="B50:F50"/>
    <mergeCell ref="B40:C41"/>
    <mergeCell ref="B43:C44"/>
    <mergeCell ref="I93:L93"/>
    <mergeCell ref="F52:H54"/>
    <mergeCell ref="I53:K53"/>
    <mergeCell ref="I62:L62"/>
    <mergeCell ref="B91:F91"/>
    <mergeCell ref="L54:M54"/>
    <mergeCell ref="B89:D89"/>
    <mergeCell ref="I65:J65"/>
    <mergeCell ref="I55:J55"/>
    <mergeCell ref="I70:K71"/>
    <mergeCell ref="B78:C78"/>
    <mergeCell ref="B82:C82"/>
    <mergeCell ref="A57:H57"/>
    <mergeCell ref="B60:F60"/>
    <mergeCell ref="B58:D58"/>
    <mergeCell ref="B74:C74"/>
  </mergeCells>
  <conditionalFormatting sqref="H11">
    <cfRule type="expression" dxfId="8" priority="9">
      <formula>$Q$11=0</formula>
    </cfRule>
  </conditionalFormatting>
  <conditionalFormatting sqref="B13:F13">
    <cfRule type="expression" dxfId="7" priority="8">
      <formula>$Q$13=0</formula>
    </cfRule>
  </conditionalFormatting>
  <conditionalFormatting sqref="B15:F15">
    <cfRule type="expression" dxfId="6" priority="7">
      <formula>$Q$15=0</formula>
    </cfRule>
  </conditionalFormatting>
  <conditionalFormatting sqref="E8:F8">
    <cfRule type="expression" dxfId="5" priority="6">
      <formula>$Q$8=0</formula>
    </cfRule>
  </conditionalFormatting>
  <conditionalFormatting sqref="B17:F17">
    <cfRule type="expression" dxfId="4" priority="5">
      <formula>$Q$17=0</formula>
    </cfRule>
  </conditionalFormatting>
  <conditionalFormatting sqref="B19:F19">
    <cfRule type="expression" dxfId="3" priority="4">
      <formula>$Q$19=0</formula>
    </cfRule>
  </conditionalFormatting>
  <conditionalFormatting sqref="B21:F21">
    <cfRule type="expression" dxfId="2" priority="3">
      <formula>$Q$21=0</formula>
    </cfRule>
  </conditionalFormatting>
  <conditionalFormatting sqref="B23:D23">
    <cfRule type="expression" dxfId="1" priority="2">
      <formula>$Q$23=0</formula>
    </cfRule>
  </conditionalFormatting>
  <conditionalFormatting sqref="D10:D11">
    <cfRule type="expression" dxfId="0" priority="1">
      <formula>$Q$10=0</formula>
    </cfRule>
  </conditionalFormatting>
  <dataValidations count="4">
    <dataValidation type="list" allowBlank="1" showInputMessage="1" showErrorMessage="1" sqref="B13 B21 B19 B15 B17">
      <formula1>INDIRECT($C$8)</formula1>
    </dataValidation>
    <dataValidation type="list" allowBlank="1" showInputMessage="1" showErrorMessage="1" sqref="B11">
      <formula1>IF(C8="Etablissement sportif",Etablissement_Sportif,INDIRECT($C$8))</formula1>
    </dataValidation>
    <dataValidation type="list" allowBlank="1" showInputMessage="1" showErrorMessage="1" sqref="D62">
      <formula1>$N$63:$N$71</formula1>
    </dataValidation>
    <dataValidation type="decimal" operator="greaterThanOrEqual" allowBlank="1" showInputMessage="1" showErrorMessage="1" sqref="C32">
      <formula1>0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rowBreaks count="1" manualBreakCount="1"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IF($B$13=Calculs!$E$2,Calculs!$E$3,IF($B$13=Calculs!$E$5,Calculs!$E$6:$E$7,IF(OR($B$13=Calculs!$E$9,$B$13=Calculs!$E$13),Calculs!$E$10:$E$11,IF(OR($B$13=Calculs!$E$17,$B$13=Calculs!$E$22),Calculs!$E$18:$E$20))))</xm:f>
          </x14:formula1>
          <xm:sqref>D13</xm:sqref>
        </x14:dataValidation>
        <x14:dataValidation type="list" allowBlank="1" showInputMessage="1" showErrorMessage="1">
          <x14:formula1>
            <xm:f>IF($B$15=Calculs!$E$2,Calculs!$E$3,IF($B$15=Calculs!$E$5,Calculs!$E$6:$E$7,IF(OR($B$15=Calculs!$E$9,$B$15=Calculs!$E$13),Calculs!$E$10:$E$11,IF(OR($B$15=Calculs!$E$17,$B$15=Calculs!$E$22),Calculs!$E$18:$E$20))))</xm:f>
          </x14:formula1>
          <xm:sqref>D15</xm:sqref>
        </x14:dataValidation>
        <x14:dataValidation type="list" allowBlank="1" showInputMessage="1" showErrorMessage="1">
          <x14:formula1>
            <xm:f>IF($B$17=Calculs!$E$2,Calculs!$E$3,IF($B$17=Calculs!$E$5,Calculs!$E$6:$E$7,IF(OR($B$17=Calculs!$E$9,$B$17=Calculs!$E$13),Calculs!$E$10:$E$11,IF(OR($B$17=Calculs!$E$17,$B$17=Calculs!$E$22),Calculs!$E$18:$E$20))))</xm:f>
          </x14:formula1>
          <xm:sqref>D17</xm:sqref>
        </x14:dataValidation>
        <x14:dataValidation type="list" allowBlank="1" showInputMessage="1" showErrorMessage="1">
          <x14:formula1>
            <xm:f>IF($B$19=Calculs!$E$2,Calculs!$E$3,IF($B$19=Calculs!$E$5,Calculs!$E$6:$E$7,IF(OR($B$19=Calculs!$E$9,$B$19=Calculs!$E$13),Calculs!$E$10:$E$11,IF(OR($B$19=Calculs!$E$17,$B$19=Calculs!$E$22),Calculs!$E$18:$E$20))))</xm:f>
          </x14:formula1>
          <xm:sqref>D19</xm:sqref>
        </x14:dataValidation>
        <x14:dataValidation type="list" allowBlank="1" showInputMessage="1" showErrorMessage="1">
          <x14:formula1>
            <xm:f>IF($B$21=Calculs!$E$2,Calculs!$E$3,IF($B$21=Calculs!$E$5,Calculs!$E$6:$E$7,IF(OR($B$21=Calculs!$E$9,$B$21=Calculs!$E$13),Calculs!$E$10:$E$11,IF(OR($B$21=Calculs!$E$17,$B$21=Calculs!$E$22),Calculs!$E$18:$E$20))))</xm:f>
          </x14:formula1>
          <xm:sqref>D21</xm:sqref>
        </x14:dataValidation>
        <x14:dataValidation type="list" allowBlank="1" showInputMessage="1" showErrorMessage="1">
          <x14:formula1>
            <xm:f>IF($C$8="Hôtellerie",Calculs!$K$11:$K$12," ")</xm:f>
          </x14:formula1>
          <xm:sqref>F8</xm:sqref>
        </x14:dataValidation>
        <x14:dataValidation type="list" allowBlank="1" showInputMessage="1" showErrorMessage="1">
          <x14:formula1>
            <xm:f>Calculs!$C$2:$C$10</xm:f>
          </x14:formula1>
          <xm:sqref>C8</xm:sqref>
        </x14:dataValidation>
        <x14:dataValidation type="list" allowBlank="1" showInputMessage="1" showErrorMessage="1">
          <x14:formula1>
            <xm:f>Calculs!$C$21:$C$22</xm:f>
          </x14:formula1>
          <xm:sqref>C28</xm:sqref>
        </x14:dataValidation>
        <x14:dataValidation type="list" allowBlank="1" showInputMessage="1" showErrorMessage="1">
          <x14:formula1>
            <xm:f>'Préparateur indépendant semi in'!$B$7:$B$12</xm:f>
          </x14:formula1>
          <xm:sqref>D73</xm:sqref>
        </x14:dataValidation>
        <x14:dataValidation type="list" allowBlank="1" showInputMessage="1" showErrorMessage="1">
          <x14:formula1>
            <xm:f>'Echangeurs à plaque'!$B$7:$B$12</xm:f>
          </x14:formula1>
          <xm:sqref>D52</xm:sqref>
        </x14:dataValidation>
        <x14:dataValidation type="list" allowBlank="1" showInputMessage="1" showErrorMessage="1">
          <x14:formula1>
            <xm:f>'Prep independant pour accumulat'!$B$7:$B$12</xm:f>
          </x14:formula1>
          <xm:sqref>D93</xm:sqref>
        </x14:dataValidation>
        <x14:dataValidation type="list" allowBlank="1" showInputMessage="1" showErrorMessage="1">
          <x14:formula1>
            <xm:f>'Préparateur indépendant sem ac'!$B$7:$B$17</xm:f>
          </x14:formula1>
          <xm:sqref>D82</xm:sqref>
        </x14:dataValidation>
        <x14:dataValidation type="list" allowBlank="1" showInputMessage="1" showErrorMessage="1">
          <x14:formula1>
            <xm:f>IF($B$11=Calculs!$E$2,Calculs!$E$3,IF($B$11=Calculs!$E$5,Calculs!$E$6:$E$7,IF(OR($B$11=Calculs!$E$9,$B$11=Calculs!$E$13),Calculs!$E$10:$E$11,IF(OR($B$11=Calculs!$E$17,$B$11=Calculs!$E$22),Calculs!$E$18:$E$20))))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autoPageBreaks="0"/>
  </sheetPr>
  <dimension ref="A1:W145"/>
  <sheetViews>
    <sheetView topLeftCell="A13" zoomScaleNormal="100" workbookViewId="0">
      <selection activeCell="J40" sqref="J40"/>
    </sheetView>
  </sheetViews>
  <sheetFormatPr baseColWidth="10" defaultRowHeight="12.75" x14ac:dyDescent="0.2"/>
  <cols>
    <col min="2" max="2" width="14.140625" customWidth="1"/>
    <col min="7" max="7" width="13.140625" customWidth="1"/>
    <col min="9" max="9" width="18.42578125" bestFit="1" customWidth="1"/>
    <col min="11" max="11" width="48.42578125" customWidth="1"/>
    <col min="12" max="15" width="26.5703125" customWidth="1"/>
    <col min="17" max="17" width="20" customWidth="1"/>
  </cols>
  <sheetData>
    <row r="1" spans="1:13" x14ac:dyDescent="0.2">
      <c r="A1" t="s">
        <v>8</v>
      </c>
      <c r="B1" s="2">
        <f>Tprimaire</f>
        <v>70</v>
      </c>
      <c r="C1" t="s">
        <v>7</v>
      </c>
      <c r="F1" s="3"/>
      <c r="M1" t="s">
        <v>26</v>
      </c>
    </row>
    <row r="2" spans="1:13" x14ac:dyDescent="0.2">
      <c r="A2" t="s">
        <v>9</v>
      </c>
      <c r="B2" s="2">
        <f>IF('Tool ECS'!J75&lt;Qmax/2,Qmax/2,'Tool ECS'!J75)</f>
        <v>220.65977126727185</v>
      </c>
      <c r="C2" t="s">
        <v>10</v>
      </c>
      <c r="D2">
        <f>+IF(C8&gt;Qmax,1,0)</f>
        <v>0</v>
      </c>
      <c r="E2" t="s">
        <v>161</v>
      </c>
      <c r="F2" s="3"/>
    </row>
    <row r="3" spans="1:13" x14ac:dyDescent="0.2">
      <c r="A3" t="s">
        <v>11</v>
      </c>
      <c r="B3" s="2">
        <f>pw*cw*(Tecs-Tef)*(Qmax-(B2))/Tmax</f>
        <v>76.988194195151152</v>
      </c>
      <c r="C3" t="s">
        <v>5</v>
      </c>
      <c r="D3" t="str">
        <f>IF(AND(E8&gt;B3,C8&lt;Qmax),"Semi-Instantanée","Semi-Accumulée")</f>
        <v>Semi-Accumulée</v>
      </c>
      <c r="F3" s="3"/>
    </row>
    <row r="4" spans="1:13" x14ac:dyDescent="0.2">
      <c r="F4" s="3"/>
    </row>
    <row r="5" spans="1:13" x14ac:dyDescent="0.2">
      <c r="B5" s="4" t="s">
        <v>12</v>
      </c>
      <c r="C5" s="4" t="s">
        <v>9</v>
      </c>
      <c r="D5" s="5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31</v>
      </c>
      <c r="J5" s="4" t="s">
        <v>28</v>
      </c>
      <c r="K5" s="18" t="s">
        <v>1</v>
      </c>
      <c r="L5" s="4" t="s">
        <v>34</v>
      </c>
    </row>
    <row r="6" spans="1:13" x14ac:dyDescent="0.2">
      <c r="B6" s="4" t="s">
        <v>18</v>
      </c>
      <c r="C6" s="4" t="s">
        <v>10</v>
      </c>
      <c r="D6" s="4" t="s">
        <v>6</v>
      </c>
      <c r="E6" s="4" t="s">
        <v>5</v>
      </c>
      <c r="F6" s="4" t="s">
        <v>6</v>
      </c>
      <c r="G6" s="4" t="s">
        <v>19</v>
      </c>
      <c r="H6" s="4" t="s">
        <v>7</v>
      </c>
      <c r="I6" s="4"/>
      <c r="J6" s="4" t="s">
        <v>32</v>
      </c>
      <c r="K6" s="4" t="s">
        <v>19</v>
      </c>
      <c r="L6" s="4" t="s">
        <v>35</v>
      </c>
    </row>
    <row r="7" spans="1:13" x14ac:dyDescent="0.2">
      <c r="B7" s="93" t="s">
        <v>156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">
      <c r="A8">
        <v>1</v>
      </c>
      <c r="B8" s="1" t="str">
        <f>IF(ISNA(VLOOKUP($A8,Solutions_ECS,2,FALSE))=TRUE,"Hors Gamme",VLOOKUP($A8,Solutions_ECS,2,FALSE))</f>
        <v>Hors Gamme</v>
      </c>
      <c r="C8" s="3">
        <f>IF(ISNA(VLOOKUP($A8,Solutions_ECS,3,FALSE))=TRUE,0,VLOOKUP($A8,Solutions_ECS,3,FALSE))</f>
        <v>0</v>
      </c>
      <c r="D8" s="6" t="str">
        <f>IF(C8=0,"-",(C8-$B$2)/C8)</f>
        <v>-</v>
      </c>
      <c r="E8" s="7">
        <f t="shared" ref="E8:E22" si="0">IF(ISNA(VLOOKUP($A8,Solutions_ECS,7,FALSE))=TRUE,0,VLOOKUP($A8,Solutions_ECS,7,FALSE))</f>
        <v>0</v>
      </c>
      <c r="F8" s="6" t="str">
        <f>IF(E8=0,"-",(E8-$B$3)/E8)</f>
        <v>-</v>
      </c>
      <c r="G8" s="8">
        <f t="shared" ref="G8:G22" si="1">IF(ISNA(VLOOKUP($A8,Solutions_ECS,4,FALSE))=TRUE,0,VLOOKUP($A8,Solutions_ECS,4,FALSE))</f>
        <v>0</v>
      </c>
      <c r="H8" s="3" t="str">
        <f>CONCATENATE($B$1,"°C - ",INT(($B$1-IF(G8=0,0,E8/(1.163*G8)))),"°C")</f>
        <v>70°C - 70°C</v>
      </c>
      <c r="I8" s="16">
        <f t="shared" ref="I8:I22" si="2">IF(ISNA(VLOOKUP($A8,$A$26:$K$137,11,FALSE)),0,VLOOKUP($A8,$A$26:$K$137,11,FALSE))</f>
        <v>0</v>
      </c>
      <c r="J8" s="17">
        <f t="shared" ref="J8:J22" si="3">IF(ISNA(VLOOKUP($A8,$A$26:$M$131,13,FALSE))=TRUE,0,VLOOKUP($A8,$A$26:$M$131,13,FALSE))</f>
        <v>0</v>
      </c>
      <c r="K8" s="19">
        <f t="shared" ref="K8:K22" si="4">IF(ISNA(VLOOKUP($A8,$A$26:$N$131,14,FALSE))=TRUE,0,VLOOKUP($A8,$A$26:$N$131,14,FALSE))</f>
        <v>0</v>
      </c>
      <c r="L8" s="20">
        <f t="shared" ref="L8:L22" si="5">IF(ISNA(VLOOKUP($A8,$A$26:$N$131,9,FALSE))=TRUE,0,VLOOKUP($A8,$A$26:$N$131,9,FALSE))</f>
        <v>0</v>
      </c>
    </row>
    <row r="9" spans="1:13" x14ac:dyDescent="0.2">
      <c r="A9">
        <v>2</v>
      </c>
      <c r="B9" s="1" t="str">
        <f t="shared" ref="B9:B22" si="6">IF(ISNA(VLOOKUP($A9,Solutions_ECS,2,FALSE))=TRUE,"Hors Gamme",VLOOKUP($A9,Solutions_ECS,2,FALSE))</f>
        <v>Hors Gamme</v>
      </c>
      <c r="C9" s="3">
        <f t="shared" ref="C9:C22" si="7">IF(ISNA(VLOOKUP($A9,Solutions_ECS,3,FALSE))=TRUE,0,VLOOKUP($A9,Solutions_ECS,3,FALSE))</f>
        <v>0</v>
      </c>
      <c r="D9" s="6" t="str">
        <f t="shared" ref="D9:D22" si="8">IF(C9=0,"-",(C9-$B$2)/C9)</f>
        <v>-</v>
      </c>
      <c r="E9" s="7">
        <f t="shared" si="0"/>
        <v>0</v>
      </c>
      <c r="F9" s="6" t="str">
        <f t="shared" ref="F9:F22" si="9">IF(E9=0,"-",(E9-$B$3)/E9)</f>
        <v>-</v>
      </c>
      <c r="G9" s="8">
        <f t="shared" si="1"/>
        <v>0</v>
      </c>
      <c r="H9" s="3" t="str">
        <f t="shared" ref="H9:H22" si="10">CONCATENATE($B$1,"°C - ",INT(($B$1-IF(G9=0,0,E9/(1.163*G9)))),"°C")</f>
        <v>70°C - 70°C</v>
      </c>
      <c r="I9" s="16">
        <f t="shared" si="2"/>
        <v>0</v>
      </c>
      <c r="J9" s="17">
        <f t="shared" si="3"/>
        <v>0</v>
      </c>
      <c r="K9" s="19">
        <f t="shared" si="4"/>
        <v>0</v>
      </c>
      <c r="L9" s="20">
        <f t="shared" si="5"/>
        <v>0</v>
      </c>
    </row>
    <row r="10" spans="1:13" x14ac:dyDescent="0.2">
      <c r="A10">
        <v>3</v>
      </c>
      <c r="B10" s="1" t="str">
        <f t="shared" si="6"/>
        <v>Hors Gamme</v>
      </c>
      <c r="C10" s="3">
        <f t="shared" si="7"/>
        <v>0</v>
      </c>
      <c r="D10" s="6" t="str">
        <f t="shared" si="8"/>
        <v>-</v>
      </c>
      <c r="E10" s="7">
        <f t="shared" si="0"/>
        <v>0</v>
      </c>
      <c r="F10" s="6" t="str">
        <f t="shared" si="9"/>
        <v>-</v>
      </c>
      <c r="G10" s="8">
        <f t="shared" si="1"/>
        <v>0</v>
      </c>
      <c r="H10" s="3" t="str">
        <f t="shared" si="10"/>
        <v>70°C - 70°C</v>
      </c>
      <c r="I10" s="16">
        <f t="shared" si="2"/>
        <v>0</v>
      </c>
      <c r="J10" s="17">
        <f t="shared" si="3"/>
        <v>0</v>
      </c>
      <c r="K10" s="19">
        <f t="shared" si="4"/>
        <v>0</v>
      </c>
      <c r="L10" s="20">
        <f t="shared" si="5"/>
        <v>0</v>
      </c>
    </row>
    <row r="11" spans="1:13" x14ac:dyDescent="0.2">
      <c r="A11">
        <v>4</v>
      </c>
      <c r="B11" s="1" t="str">
        <f t="shared" si="6"/>
        <v>Hors Gamme</v>
      </c>
      <c r="C11" s="3">
        <f t="shared" si="7"/>
        <v>0</v>
      </c>
      <c r="D11" s="6" t="str">
        <f t="shared" si="8"/>
        <v>-</v>
      </c>
      <c r="E11" s="7">
        <f t="shared" si="0"/>
        <v>0</v>
      </c>
      <c r="F11" s="6" t="str">
        <f t="shared" si="9"/>
        <v>-</v>
      </c>
      <c r="G11" s="8">
        <f t="shared" si="1"/>
        <v>0</v>
      </c>
      <c r="H11" s="3" t="str">
        <f t="shared" si="10"/>
        <v>70°C - 70°C</v>
      </c>
      <c r="I11" s="16">
        <f t="shared" si="2"/>
        <v>0</v>
      </c>
      <c r="J11" s="17">
        <f t="shared" si="3"/>
        <v>0</v>
      </c>
      <c r="K11" s="19">
        <f t="shared" si="4"/>
        <v>0</v>
      </c>
      <c r="L11" s="20">
        <f t="shared" si="5"/>
        <v>0</v>
      </c>
    </row>
    <row r="12" spans="1:13" x14ac:dyDescent="0.2">
      <c r="A12">
        <v>5</v>
      </c>
      <c r="B12" s="1" t="str">
        <f t="shared" si="6"/>
        <v>Hors Gamme</v>
      </c>
      <c r="C12" s="3">
        <f t="shared" si="7"/>
        <v>0</v>
      </c>
      <c r="D12" s="6" t="str">
        <f t="shared" si="8"/>
        <v>-</v>
      </c>
      <c r="E12" s="7">
        <f t="shared" si="0"/>
        <v>0</v>
      </c>
      <c r="F12" s="6" t="str">
        <f t="shared" si="9"/>
        <v>-</v>
      </c>
      <c r="G12" s="8">
        <f t="shared" si="1"/>
        <v>0</v>
      </c>
      <c r="H12" s="3" t="str">
        <f t="shared" si="10"/>
        <v>70°C - 70°C</v>
      </c>
      <c r="I12" s="16">
        <f t="shared" si="2"/>
        <v>0</v>
      </c>
      <c r="J12" s="17">
        <f t="shared" si="3"/>
        <v>0</v>
      </c>
      <c r="K12" s="19">
        <f t="shared" si="4"/>
        <v>0</v>
      </c>
      <c r="L12" s="20">
        <f t="shared" si="5"/>
        <v>0</v>
      </c>
    </row>
    <row r="13" spans="1:13" x14ac:dyDescent="0.2">
      <c r="A13">
        <v>6</v>
      </c>
      <c r="B13" s="1" t="str">
        <f t="shared" si="6"/>
        <v>Hors Gamme</v>
      </c>
      <c r="C13" s="3">
        <f t="shared" si="7"/>
        <v>0</v>
      </c>
      <c r="D13" s="6" t="str">
        <f t="shared" si="8"/>
        <v>-</v>
      </c>
      <c r="E13" s="7">
        <f t="shared" si="0"/>
        <v>0</v>
      </c>
      <c r="F13" s="6" t="str">
        <f t="shared" si="9"/>
        <v>-</v>
      </c>
      <c r="G13" s="8">
        <f t="shared" si="1"/>
        <v>0</v>
      </c>
      <c r="H13" s="3" t="str">
        <f t="shared" si="10"/>
        <v>70°C - 70°C</v>
      </c>
      <c r="I13" s="16">
        <f t="shared" si="2"/>
        <v>0</v>
      </c>
      <c r="J13" s="17">
        <f t="shared" si="3"/>
        <v>0</v>
      </c>
      <c r="K13" s="19">
        <f t="shared" si="4"/>
        <v>0</v>
      </c>
      <c r="L13" s="20">
        <f t="shared" si="5"/>
        <v>0</v>
      </c>
    </row>
    <row r="14" spans="1:13" x14ac:dyDescent="0.2">
      <c r="A14">
        <v>7</v>
      </c>
      <c r="B14" s="1" t="str">
        <f t="shared" si="6"/>
        <v>Hors Gamme</v>
      </c>
      <c r="C14" s="3">
        <f t="shared" si="7"/>
        <v>0</v>
      </c>
      <c r="D14" s="6" t="str">
        <f t="shared" si="8"/>
        <v>-</v>
      </c>
      <c r="E14" s="7">
        <f t="shared" si="0"/>
        <v>0</v>
      </c>
      <c r="F14" s="6" t="str">
        <f t="shared" si="9"/>
        <v>-</v>
      </c>
      <c r="G14" s="8">
        <f t="shared" si="1"/>
        <v>0</v>
      </c>
      <c r="H14" s="3" t="str">
        <f t="shared" si="10"/>
        <v>70°C - 70°C</v>
      </c>
      <c r="I14" s="16">
        <f t="shared" si="2"/>
        <v>0</v>
      </c>
      <c r="J14" s="17">
        <f t="shared" si="3"/>
        <v>0</v>
      </c>
      <c r="K14" s="19">
        <f t="shared" si="4"/>
        <v>0</v>
      </c>
      <c r="L14" s="20">
        <f t="shared" si="5"/>
        <v>0</v>
      </c>
    </row>
    <row r="15" spans="1:13" x14ac:dyDescent="0.2">
      <c r="A15">
        <v>8</v>
      </c>
      <c r="B15" s="1" t="str">
        <f t="shared" si="6"/>
        <v>Hors Gamme</v>
      </c>
      <c r="C15" s="3">
        <f t="shared" si="7"/>
        <v>0</v>
      </c>
      <c r="D15" s="6" t="str">
        <f t="shared" si="8"/>
        <v>-</v>
      </c>
      <c r="E15" s="7">
        <f t="shared" si="0"/>
        <v>0</v>
      </c>
      <c r="F15" s="6" t="str">
        <f t="shared" si="9"/>
        <v>-</v>
      </c>
      <c r="G15" s="8">
        <f t="shared" si="1"/>
        <v>0</v>
      </c>
      <c r="H15" s="3" t="str">
        <f t="shared" si="10"/>
        <v>70°C - 70°C</v>
      </c>
      <c r="I15" s="16">
        <f t="shared" si="2"/>
        <v>0</v>
      </c>
      <c r="J15" s="17">
        <f t="shared" si="3"/>
        <v>0</v>
      </c>
      <c r="K15" s="19">
        <f t="shared" si="4"/>
        <v>0</v>
      </c>
      <c r="L15" s="20">
        <f t="shared" si="5"/>
        <v>0</v>
      </c>
    </row>
    <row r="16" spans="1:13" x14ac:dyDescent="0.2">
      <c r="A16">
        <v>9</v>
      </c>
      <c r="B16" s="1" t="str">
        <f t="shared" si="6"/>
        <v>Hors Gamme</v>
      </c>
      <c r="C16" s="3">
        <f t="shared" si="7"/>
        <v>0</v>
      </c>
      <c r="D16" s="6" t="str">
        <f t="shared" si="8"/>
        <v>-</v>
      </c>
      <c r="E16" s="7">
        <f t="shared" si="0"/>
        <v>0</v>
      </c>
      <c r="F16" s="6" t="str">
        <f t="shared" si="9"/>
        <v>-</v>
      </c>
      <c r="G16" s="8">
        <f t="shared" si="1"/>
        <v>0</v>
      </c>
      <c r="H16" s="3" t="str">
        <f t="shared" si="10"/>
        <v>70°C - 70°C</v>
      </c>
      <c r="I16" s="16">
        <f t="shared" si="2"/>
        <v>0</v>
      </c>
      <c r="J16" s="17">
        <f t="shared" si="3"/>
        <v>0</v>
      </c>
      <c r="K16" s="19">
        <f t="shared" si="4"/>
        <v>0</v>
      </c>
      <c r="L16" s="20">
        <f t="shared" si="5"/>
        <v>0</v>
      </c>
    </row>
    <row r="17" spans="1:17" x14ac:dyDescent="0.2">
      <c r="A17">
        <v>10</v>
      </c>
      <c r="B17" s="1" t="str">
        <f t="shared" si="6"/>
        <v>Hors Gamme</v>
      </c>
      <c r="C17" s="3">
        <f t="shared" si="7"/>
        <v>0</v>
      </c>
      <c r="D17" s="6" t="str">
        <f t="shared" si="8"/>
        <v>-</v>
      </c>
      <c r="E17" s="7">
        <f t="shared" si="0"/>
        <v>0</v>
      </c>
      <c r="F17" s="6" t="str">
        <f t="shared" si="9"/>
        <v>-</v>
      </c>
      <c r="G17" s="8">
        <f t="shared" si="1"/>
        <v>0</v>
      </c>
      <c r="H17" s="3" t="str">
        <f t="shared" si="10"/>
        <v>70°C - 70°C</v>
      </c>
      <c r="I17" s="16">
        <f t="shared" si="2"/>
        <v>0</v>
      </c>
      <c r="J17" s="17">
        <f t="shared" si="3"/>
        <v>0</v>
      </c>
      <c r="K17" s="19">
        <f t="shared" si="4"/>
        <v>0</v>
      </c>
      <c r="L17" s="20">
        <f t="shared" si="5"/>
        <v>0</v>
      </c>
    </row>
    <row r="18" spans="1:17" x14ac:dyDescent="0.2">
      <c r="A18">
        <v>11</v>
      </c>
      <c r="B18" s="1" t="str">
        <f t="shared" si="6"/>
        <v>Hors Gamme</v>
      </c>
      <c r="C18" s="3">
        <f t="shared" si="7"/>
        <v>0</v>
      </c>
      <c r="D18" s="6" t="str">
        <f t="shared" si="8"/>
        <v>-</v>
      </c>
      <c r="E18" s="7">
        <f t="shared" si="0"/>
        <v>0</v>
      </c>
      <c r="F18" s="6" t="str">
        <f t="shared" si="9"/>
        <v>-</v>
      </c>
      <c r="G18" s="8">
        <f t="shared" si="1"/>
        <v>0</v>
      </c>
      <c r="H18" s="3" t="str">
        <f t="shared" si="10"/>
        <v>70°C - 70°C</v>
      </c>
      <c r="I18" s="16">
        <f t="shared" si="2"/>
        <v>0</v>
      </c>
      <c r="J18" s="17">
        <f t="shared" si="3"/>
        <v>0</v>
      </c>
      <c r="K18" s="19">
        <f t="shared" si="4"/>
        <v>0</v>
      </c>
      <c r="L18" s="20">
        <f t="shared" si="5"/>
        <v>0</v>
      </c>
    </row>
    <row r="19" spans="1:17" x14ac:dyDescent="0.2">
      <c r="A19">
        <v>12</v>
      </c>
      <c r="B19" s="1" t="str">
        <f t="shared" si="6"/>
        <v>Hors Gamme</v>
      </c>
      <c r="C19" s="3">
        <f t="shared" si="7"/>
        <v>0</v>
      </c>
      <c r="D19" s="6" t="str">
        <f t="shared" si="8"/>
        <v>-</v>
      </c>
      <c r="E19" s="7">
        <f t="shared" si="0"/>
        <v>0</v>
      </c>
      <c r="F19" s="6" t="str">
        <f t="shared" si="9"/>
        <v>-</v>
      </c>
      <c r="G19" s="8">
        <f t="shared" si="1"/>
        <v>0</v>
      </c>
      <c r="H19" s="3" t="str">
        <f t="shared" si="10"/>
        <v>70°C - 70°C</v>
      </c>
      <c r="I19" s="16">
        <f t="shared" si="2"/>
        <v>0</v>
      </c>
      <c r="J19" s="17">
        <f t="shared" si="3"/>
        <v>0</v>
      </c>
      <c r="K19" s="19">
        <f t="shared" si="4"/>
        <v>0</v>
      </c>
      <c r="L19" s="20">
        <f t="shared" si="5"/>
        <v>0</v>
      </c>
    </row>
    <row r="20" spans="1:17" x14ac:dyDescent="0.2">
      <c r="A20">
        <v>13</v>
      </c>
      <c r="B20" s="1" t="str">
        <f t="shared" si="6"/>
        <v>Hors Gamme</v>
      </c>
      <c r="C20" s="3">
        <f t="shared" si="7"/>
        <v>0</v>
      </c>
      <c r="D20" s="6" t="str">
        <f t="shared" si="8"/>
        <v>-</v>
      </c>
      <c r="E20" s="7">
        <f t="shared" si="0"/>
        <v>0</v>
      </c>
      <c r="F20" s="6" t="str">
        <f t="shared" si="9"/>
        <v>-</v>
      </c>
      <c r="G20" s="8">
        <f t="shared" si="1"/>
        <v>0</v>
      </c>
      <c r="H20" s="3" t="str">
        <f t="shared" si="10"/>
        <v>70°C - 70°C</v>
      </c>
      <c r="I20" s="16">
        <f t="shared" si="2"/>
        <v>0</v>
      </c>
      <c r="J20" s="17">
        <f t="shared" si="3"/>
        <v>0</v>
      </c>
      <c r="K20" s="19">
        <f t="shared" si="4"/>
        <v>0</v>
      </c>
      <c r="L20" s="20">
        <f t="shared" si="5"/>
        <v>0</v>
      </c>
    </row>
    <row r="21" spans="1:17" x14ac:dyDescent="0.2">
      <c r="A21">
        <v>14</v>
      </c>
      <c r="B21" s="1" t="str">
        <f t="shared" si="6"/>
        <v>Hors Gamme</v>
      </c>
      <c r="C21" s="3">
        <f t="shared" si="7"/>
        <v>0</v>
      </c>
      <c r="D21" s="6" t="str">
        <f t="shared" si="8"/>
        <v>-</v>
      </c>
      <c r="E21" s="7">
        <f t="shared" si="0"/>
        <v>0</v>
      </c>
      <c r="F21" s="6" t="str">
        <f t="shared" si="9"/>
        <v>-</v>
      </c>
      <c r="G21" s="8">
        <f t="shared" si="1"/>
        <v>0</v>
      </c>
      <c r="H21" s="3" t="str">
        <f t="shared" si="10"/>
        <v>70°C - 70°C</v>
      </c>
      <c r="I21" s="16">
        <f t="shared" si="2"/>
        <v>0</v>
      </c>
      <c r="J21" s="17">
        <f t="shared" si="3"/>
        <v>0</v>
      </c>
      <c r="K21" s="19">
        <f t="shared" si="4"/>
        <v>0</v>
      </c>
      <c r="L21" s="20">
        <f t="shared" si="5"/>
        <v>0</v>
      </c>
    </row>
    <row r="22" spans="1:17" x14ac:dyDescent="0.2">
      <c r="A22">
        <v>15</v>
      </c>
      <c r="B22" s="1" t="str">
        <f t="shared" si="6"/>
        <v>Hors Gamme</v>
      </c>
      <c r="C22" s="3">
        <f t="shared" si="7"/>
        <v>0</v>
      </c>
      <c r="D22" s="6" t="str">
        <f t="shared" si="8"/>
        <v>-</v>
      </c>
      <c r="E22" s="7">
        <f t="shared" si="0"/>
        <v>0</v>
      </c>
      <c r="F22" s="6" t="str">
        <f t="shared" si="9"/>
        <v>-</v>
      </c>
      <c r="G22" s="8">
        <f t="shared" si="1"/>
        <v>0</v>
      </c>
      <c r="H22" s="3" t="str">
        <f t="shared" si="10"/>
        <v>70°C - 70°C</v>
      </c>
      <c r="I22" s="16">
        <f t="shared" si="2"/>
        <v>0</v>
      </c>
      <c r="J22" s="17">
        <f t="shared" si="3"/>
        <v>0</v>
      </c>
      <c r="K22" s="19">
        <f t="shared" si="4"/>
        <v>0</v>
      </c>
      <c r="L22" s="20">
        <f t="shared" si="5"/>
        <v>0</v>
      </c>
    </row>
    <row r="23" spans="1:17" x14ac:dyDescent="0.2">
      <c r="F23" s="3"/>
    </row>
    <row r="24" spans="1:17" x14ac:dyDescent="0.2">
      <c r="F24" s="3"/>
    </row>
    <row r="25" spans="1:17" x14ac:dyDescent="0.2">
      <c r="F25" s="3"/>
    </row>
    <row r="26" spans="1:17" ht="13.5" thickBot="1" x14ac:dyDescent="0.25">
      <c r="A26" s="9" t="s">
        <v>12</v>
      </c>
      <c r="B26" s="9" t="s">
        <v>20</v>
      </c>
      <c r="C26" s="9" t="s">
        <v>9</v>
      </c>
      <c r="D26" s="9" t="s">
        <v>21</v>
      </c>
      <c r="E26" s="9" t="s">
        <v>22</v>
      </c>
      <c r="F26" s="4" t="s">
        <v>23</v>
      </c>
      <c r="G26" s="9" t="s">
        <v>24</v>
      </c>
      <c r="H26" s="9" t="s">
        <v>29</v>
      </c>
      <c r="I26" s="9" t="s">
        <v>25</v>
      </c>
      <c r="J26" s="9" t="s">
        <v>4</v>
      </c>
      <c r="K26" s="9" t="s">
        <v>31</v>
      </c>
      <c r="L26" s="9" t="s">
        <v>27</v>
      </c>
      <c r="M26" s="9" t="s">
        <v>30</v>
      </c>
      <c r="N26" s="9" t="s">
        <v>33</v>
      </c>
    </row>
    <row r="27" spans="1:17" x14ac:dyDescent="0.2">
      <c r="A27">
        <f>J27</f>
        <v>0</v>
      </c>
      <c r="B27" s="38" t="s">
        <v>320</v>
      </c>
      <c r="C27" s="10">
        <v>145</v>
      </c>
      <c r="D27" s="10">
        <v>3</v>
      </c>
      <c r="E27" s="10">
        <v>70</v>
      </c>
      <c r="F27" s="11">
        <v>60</v>
      </c>
      <c r="G27" s="27">
        <v>13.8</v>
      </c>
      <c r="H27" s="28">
        <f t="shared" ref="H27:H36" si="11">ROUND(G27*1000/1.16/50,0)</f>
        <v>238</v>
      </c>
      <c r="I27" s="10"/>
      <c r="J27">
        <f>IF(((Qmax-C27)/Tmax)&lt;((Qph-C27)/Tph),0,IF(Tecs=F27,1,0)*IF(E27=$B$1,1,0)*IF(C27&gt;=$B$2,1,0)*IF(('Tool ECS'!$C$32+1.2*pw*cw*(Tecs-Tef)*(Qmax-C27)/Tmax)&lt;G27,1,0))</f>
        <v>0</v>
      </c>
      <c r="K27" s="10" t="str">
        <f>CONCATENATE("1 préparateur ",B27)</f>
        <v>1 préparateur OBLC 150</v>
      </c>
      <c r="L27" s="35">
        <v>110</v>
      </c>
      <c r="M27" s="10">
        <f t="shared" ref="M27:M36" si="12">L27/10</f>
        <v>11</v>
      </c>
      <c r="N27" s="10">
        <f>H27/1000</f>
        <v>0.23799999999999999</v>
      </c>
      <c r="P27" s="22"/>
      <c r="Q27" s="25"/>
    </row>
    <row r="28" spans="1:17" x14ac:dyDescent="0.2">
      <c r="A28">
        <f t="shared" ref="A28:A91" si="13">J28+A27</f>
        <v>0</v>
      </c>
      <c r="B28" s="10" t="s">
        <v>327</v>
      </c>
      <c r="C28" s="10">
        <v>145</v>
      </c>
      <c r="D28" s="10">
        <v>3</v>
      </c>
      <c r="E28" s="10">
        <v>70</v>
      </c>
      <c r="F28" s="11">
        <v>60</v>
      </c>
      <c r="G28" s="29">
        <v>15.4</v>
      </c>
      <c r="H28" s="30">
        <f t="shared" si="11"/>
        <v>266</v>
      </c>
      <c r="I28" s="10"/>
      <c r="J28">
        <f>IF(((Qmax-C28)/Tmax)&lt;((Qph-C28)/Tph),0,IF(Tecs=F28,1,0)*IF(E28=$B$1,1,0)*IF(C28&gt;=$B$2,1,0)*IF(('Tool ECS'!$C$32+1.2*pw*cw*(Tecs-Tef)*(Qmax-C28)/Tmax)&lt;G28,1,0))</f>
        <v>0</v>
      </c>
      <c r="K28" s="10" t="str">
        <f t="shared" ref="K28:K36" si="14">CONCATENATE("1 préparateur ",B28)</f>
        <v>1 préparateur OBPB 150</v>
      </c>
      <c r="L28" s="34">
        <v>120</v>
      </c>
      <c r="M28" s="10">
        <f t="shared" si="12"/>
        <v>12</v>
      </c>
      <c r="N28" s="10">
        <f t="shared" ref="N28:N36" si="15">H28/1000</f>
        <v>0.26600000000000001</v>
      </c>
      <c r="P28" s="22"/>
      <c r="Q28" s="25"/>
    </row>
    <row r="29" spans="1:17" x14ac:dyDescent="0.2">
      <c r="A29">
        <f t="shared" si="13"/>
        <v>0</v>
      </c>
      <c r="B29" s="10" t="s">
        <v>321</v>
      </c>
      <c r="C29" s="10">
        <v>195</v>
      </c>
      <c r="D29" s="10">
        <v>3</v>
      </c>
      <c r="E29" s="10">
        <v>70</v>
      </c>
      <c r="F29" s="11">
        <v>60</v>
      </c>
      <c r="G29" s="29">
        <v>17.5</v>
      </c>
      <c r="H29" s="30">
        <f t="shared" si="11"/>
        <v>302</v>
      </c>
      <c r="I29" s="10"/>
      <c r="J29">
        <f>IF(((Qmax-C29)/Tmax)&lt;((Qph-C29)/Tph),0,IF(Tecs=F29,1,0)*IF(E29=$B$1,1,0)*IF(C29&gt;=$B$2,1,0)*IF(('Tool ECS'!$C$32+1.2*pw*cw*(Tecs-Tef)*(Qmax-C29)/Tmax)&lt;G29,1,0))</f>
        <v>0</v>
      </c>
      <c r="K29" s="10" t="str">
        <f t="shared" si="14"/>
        <v>1 préparateur OBLC 200</v>
      </c>
      <c r="L29" s="34">
        <v>120</v>
      </c>
      <c r="M29" s="10">
        <f t="shared" si="12"/>
        <v>12</v>
      </c>
      <c r="N29" s="10">
        <f t="shared" si="15"/>
        <v>0.30199999999999999</v>
      </c>
      <c r="P29" s="22"/>
      <c r="Q29" s="25"/>
    </row>
    <row r="30" spans="1:17" x14ac:dyDescent="0.2">
      <c r="A30">
        <f t="shared" si="13"/>
        <v>0</v>
      </c>
      <c r="B30" s="10" t="s">
        <v>328</v>
      </c>
      <c r="C30" s="10">
        <v>195</v>
      </c>
      <c r="D30" s="10">
        <v>3</v>
      </c>
      <c r="E30" s="10">
        <v>70</v>
      </c>
      <c r="F30" s="11">
        <v>60</v>
      </c>
      <c r="G30" s="29">
        <v>20.7</v>
      </c>
      <c r="H30" s="30">
        <f t="shared" si="11"/>
        <v>357</v>
      </c>
      <c r="I30" s="10"/>
      <c r="J30">
        <f>IF(((Qmax-C30)/Tmax)&lt;((Qph-C30)/Tph),0,IF(Tecs=F30,1,0)*IF(E30=$B$1,1,0)*IF(C30&gt;=$B$2,1,0)*IF(('Tool ECS'!$C$32+1.2*pw*cw*(Tecs-Tef)*(Qmax-C30)/Tmax)&lt;G30,1,0))</f>
        <v>0</v>
      </c>
      <c r="K30" s="10" t="str">
        <f t="shared" si="14"/>
        <v>1 préparateur OBPB 200</v>
      </c>
      <c r="L30" s="34">
        <v>140</v>
      </c>
      <c r="M30" s="10">
        <f t="shared" si="12"/>
        <v>14</v>
      </c>
      <c r="N30" s="10">
        <f t="shared" si="15"/>
        <v>0.35699999999999998</v>
      </c>
      <c r="P30" s="22"/>
      <c r="Q30" s="25"/>
    </row>
    <row r="31" spans="1:17" x14ac:dyDescent="0.2">
      <c r="A31">
        <f t="shared" si="13"/>
        <v>0</v>
      </c>
      <c r="B31" s="10" t="s">
        <v>322</v>
      </c>
      <c r="C31" s="10">
        <v>295</v>
      </c>
      <c r="D31" s="10">
        <v>3</v>
      </c>
      <c r="E31" s="10">
        <v>70</v>
      </c>
      <c r="F31" s="11">
        <v>60</v>
      </c>
      <c r="G31" s="29">
        <v>20.7</v>
      </c>
      <c r="H31" s="30">
        <f t="shared" si="11"/>
        <v>357</v>
      </c>
      <c r="I31" s="10"/>
      <c r="J31">
        <f>IF(((Qmax-C31)/Tmax)&lt;((Qph-C31)/Tph),0,IF(Tecs=F31,1,0)*IF(E31=$B$1,1,0)*IF(C31&gt;=$B$2,1,0)*IF(('Tool ECS'!$C$32+1.2*pw*cw*(Tecs-Tef)*(Qmax-C31)/Tmax)&lt;G31,1,0))</f>
        <v>0</v>
      </c>
      <c r="K31" s="10" t="str">
        <f t="shared" si="14"/>
        <v>1 préparateur OBLC 300</v>
      </c>
      <c r="L31" s="34">
        <v>130</v>
      </c>
      <c r="M31" s="10">
        <f t="shared" si="12"/>
        <v>13</v>
      </c>
      <c r="N31" s="10">
        <f t="shared" si="15"/>
        <v>0.35699999999999998</v>
      </c>
      <c r="P31" s="22"/>
      <c r="Q31" s="25"/>
    </row>
    <row r="32" spans="1:17" x14ac:dyDescent="0.2">
      <c r="A32">
        <f t="shared" si="13"/>
        <v>0</v>
      </c>
      <c r="B32" s="10" t="s">
        <v>329</v>
      </c>
      <c r="C32" s="10">
        <v>290</v>
      </c>
      <c r="D32" s="10">
        <v>3</v>
      </c>
      <c r="E32" s="10">
        <v>70</v>
      </c>
      <c r="F32" s="11">
        <v>60</v>
      </c>
      <c r="G32" s="29">
        <v>28.6</v>
      </c>
      <c r="H32" s="30">
        <f t="shared" si="11"/>
        <v>493</v>
      </c>
      <c r="I32" s="10"/>
      <c r="J32">
        <f>IF(((Qmax-C32)/Tmax)&lt;((Qph-C32)/Tph),0,IF(Tecs=F32,1,0)*IF(E32=$B$1,1,0)*IF(C32&gt;=$B$2,1,0)*IF(('Tool ECS'!$C$32+1.2*pw*cw*(Tecs-Tef)*(Qmax-C32)/Tmax)&lt;G32,1,0))</f>
        <v>0</v>
      </c>
      <c r="K32" s="10" t="str">
        <f t="shared" si="14"/>
        <v>1 préparateur OBPB 300</v>
      </c>
      <c r="L32" s="34">
        <v>170</v>
      </c>
      <c r="M32" s="10">
        <f t="shared" si="12"/>
        <v>17</v>
      </c>
      <c r="N32" s="10">
        <f t="shared" si="15"/>
        <v>0.49299999999999999</v>
      </c>
      <c r="P32" s="22"/>
      <c r="Q32" s="25"/>
    </row>
    <row r="33" spans="1:18" x14ac:dyDescent="0.2">
      <c r="A33">
        <f t="shared" si="13"/>
        <v>0</v>
      </c>
      <c r="B33" s="10" t="s">
        <v>323</v>
      </c>
      <c r="C33" s="10">
        <v>390</v>
      </c>
      <c r="D33" s="10">
        <v>3</v>
      </c>
      <c r="E33" s="10">
        <v>70</v>
      </c>
      <c r="F33" s="11">
        <v>60</v>
      </c>
      <c r="G33" s="29">
        <v>29.7</v>
      </c>
      <c r="H33" s="30">
        <f t="shared" si="11"/>
        <v>512</v>
      </c>
      <c r="I33" s="10"/>
      <c r="J33">
        <f>IF(((Qmax-C33)/Tmax)&lt;((Qph-C33)/Tph),0,IF(Tecs=F33,1,0)*IF(E33=$B$1,1,0)*IF(C33&gt;=$B$2,1,0)*IF(('Tool ECS'!$C$32+1.2*pw*cw*(Tecs-Tef)*(Qmax-C33)/Tmax)&lt;G33,1,0))</f>
        <v>0</v>
      </c>
      <c r="K33" s="10" t="str">
        <f t="shared" si="14"/>
        <v>1 préparateur OBLC 400</v>
      </c>
      <c r="L33" s="34">
        <v>170</v>
      </c>
      <c r="M33" s="10">
        <f t="shared" si="12"/>
        <v>17</v>
      </c>
      <c r="N33" s="10">
        <f t="shared" si="15"/>
        <v>0.51200000000000001</v>
      </c>
      <c r="P33" s="24"/>
      <c r="Q33" s="25"/>
    </row>
    <row r="34" spans="1:18" x14ac:dyDescent="0.2">
      <c r="A34">
        <f t="shared" si="13"/>
        <v>0</v>
      </c>
      <c r="B34" s="10" t="s">
        <v>330</v>
      </c>
      <c r="C34" s="10">
        <v>385</v>
      </c>
      <c r="D34" s="10">
        <v>3</v>
      </c>
      <c r="E34" s="10">
        <v>70</v>
      </c>
      <c r="F34" s="11">
        <v>60</v>
      </c>
      <c r="G34" s="29">
        <v>36</v>
      </c>
      <c r="H34" s="30">
        <f t="shared" si="11"/>
        <v>621</v>
      </c>
      <c r="I34" s="10"/>
      <c r="J34">
        <f>IF(((Qmax-C34)/Tmax)&lt;((Qph-C34)/Tph),0,IF(Tecs=F34,1,0)*IF(E34=$B$1,1,0)*IF(C34&gt;=$B$2,1,0)*IF(('Tool ECS'!$C$32+1.2*pw*cw*(Tecs-Tef)*(Qmax-C34)/Tmax)&lt;G34,1,0))</f>
        <v>0</v>
      </c>
      <c r="K34" s="10" t="str">
        <f t="shared" si="14"/>
        <v>1 préparateur OBPB 400</v>
      </c>
      <c r="L34" s="34">
        <v>200</v>
      </c>
      <c r="M34" s="10">
        <f t="shared" si="12"/>
        <v>20</v>
      </c>
      <c r="N34" s="10">
        <f t="shared" si="15"/>
        <v>0.621</v>
      </c>
      <c r="P34" s="24"/>
      <c r="Q34" s="25"/>
    </row>
    <row r="35" spans="1:18" x14ac:dyDescent="0.2">
      <c r="A35">
        <f t="shared" si="13"/>
        <v>0</v>
      </c>
      <c r="B35" s="10" t="s">
        <v>324</v>
      </c>
      <c r="C35" s="10">
        <v>495</v>
      </c>
      <c r="D35" s="10">
        <v>3</v>
      </c>
      <c r="E35" s="10">
        <v>70</v>
      </c>
      <c r="F35" s="11">
        <v>60</v>
      </c>
      <c r="G35" s="29">
        <v>35</v>
      </c>
      <c r="H35" s="30">
        <f t="shared" si="11"/>
        <v>603</v>
      </c>
      <c r="I35" s="10"/>
      <c r="J35">
        <f>IF(((Qmax-C35)/Tmax)&lt;((Qph-C35)/Tph),0,IF(Tecs=F35,1,0)*IF(E35=$B$1,1,0)*IF(C35&gt;=$B$2,1,0)*IF(('Tool ECS'!$C$32+1.2*pw*cw*(Tecs-Tef)*(Qmax-C35)/Tmax)&lt;G35,1,0))</f>
        <v>0</v>
      </c>
      <c r="K35" s="10" t="str">
        <f t="shared" si="14"/>
        <v>1 préparateur OBLC 500</v>
      </c>
      <c r="L35" s="34">
        <v>200</v>
      </c>
      <c r="M35" s="10">
        <f t="shared" si="12"/>
        <v>20</v>
      </c>
      <c r="N35" s="10">
        <f t="shared" si="15"/>
        <v>0.60299999999999998</v>
      </c>
      <c r="P35" s="24"/>
      <c r="Q35" s="25"/>
    </row>
    <row r="36" spans="1:18" x14ac:dyDescent="0.2">
      <c r="A36">
        <f t="shared" si="13"/>
        <v>0</v>
      </c>
      <c r="B36" s="10" t="s">
        <v>331</v>
      </c>
      <c r="C36" s="10">
        <v>485</v>
      </c>
      <c r="D36" s="10">
        <v>3</v>
      </c>
      <c r="E36" s="10">
        <v>70</v>
      </c>
      <c r="F36" s="11">
        <v>60</v>
      </c>
      <c r="G36" s="29">
        <v>45.6</v>
      </c>
      <c r="H36" s="30">
        <f t="shared" si="11"/>
        <v>786</v>
      </c>
      <c r="I36" s="10"/>
      <c r="J36">
        <f>IF(((Qmax-C36)/Tmax)&lt;((Qph-C36)/Tph),0,IF(Tecs=F36,1,0)*IF(E36=$B$1,1,0)*IF(C36&gt;=$B$2,1,0)*IF(('Tool ECS'!$C$32+1.2*pw*cw*(Tecs-Tef)*(Qmax-C36)/Tmax)&lt;G36,1,0))</f>
        <v>0</v>
      </c>
      <c r="K36" s="10" t="str">
        <f t="shared" si="14"/>
        <v>1 préparateur OBPB 500</v>
      </c>
      <c r="L36" s="34">
        <v>260</v>
      </c>
      <c r="M36" s="10">
        <f t="shared" si="12"/>
        <v>26</v>
      </c>
      <c r="N36" s="10">
        <f t="shared" si="15"/>
        <v>0.78600000000000003</v>
      </c>
      <c r="P36" s="23"/>
      <c r="Q36" s="25"/>
      <c r="R36" s="26"/>
    </row>
    <row r="37" spans="1:18" x14ac:dyDescent="0.2">
      <c r="A37">
        <f t="shared" si="13"/>
        <v>0</v>
      </c>
      <c r="B37" s="10" t="str">
        <f>CONCATENATE("2 - ",B31)</f>
        <v>2 - OBLC 300</v>
      </c>
      <c r="C37" s="10">
        <f>2*C31</f>
        <v>590</v>
      </c>
      <c r="D37" s="10">
        <v>6</v>
      </c>
      <c r="E37" s="10">
        <v>70</v>
      </c>
      <c r="F37" s="11">
        <v>60</v>
      </c>
      <c r="G37" s="29">
        <f>2*G31</f>
        <v>41.4</v>
      </c>
      <c r="H37" s="30">
        <f t="shared" ref="H37:H100" si="16">ROUND(G37*1000/1.16/50,0)</f>
        <v>714</v>
      </c>
      <c r="I37" s="10"/>
      <c r="J37">
        <f>IF(((Qmax-C37)/Tmax)&lt;((Qph-C37)/Tph),0,IF(Tecs=F37,1,0)*IF(E37=$B$1,1,0)*IF(C37&gt;=$B$2,1,0)*IF(('Tool ECS'!$C$32+1.2*pw*cw*(Tecs-Tef)*(Qmax-C37)/Tmax)&lt;G37,1,0))</f>
        <v>0</v>
      </c>
      <c r="K37" s="10" t="str">
        <f>CONCATENATE("2 préparateurs ",B31," raccordés en parallèle")</f>
        <v>2 préparateurs OBLC 300 raccordés en parallèle</v>
      </c>
      <c r="L37" s="34">
        <f>L31</f>
        <v>130</v>
      </c>
      <c r="M37" s="10">
        <f t="shared" ref="M37:M100" si="17">L37/10</f>
        <v>13</v>
      </c>
      <c r="N37" s="10">
        <f t="shared" ref="N37:N86" si="18">H37/1000</f>
        <v>0.71399999999999997</v>
      </c>
      <c r="P37" s="23"/>
      <c r="Q37" s="25"/>
      <c r="R37" s="26"/>
    </row>
    <row r="38" spans="1:18" x14ac:dyDescent="0.2">
      <c r="A38">
        <f t="shared" si="13"/>
        <v>0</v>
      </c>
      <c r="B38" s="10" t="str">
        <f>CONCATENATE("2 - ",B32)</f>
        <v>2 - OBPB 300</v>
      </c>
      <c r="C38" s="10">
        <f>2*C32</f>
        <v>580</v>
      </c>
      <c r="D38" s="10">
        <v>6</v>
      </c>
      <c r="E38" s="10">
        <v>70</v>
      </c>
      <c r="F38" s="11">
        <v>60</v>
      </c>
      <c r="G38" s="29">
        <f>2*G32</f>
        <v>57.2</v>
      </c>
      <c r="H38" s="30">
        <f t="shared" si="16"/>
        <v>986</v>
      </c>
      <c r="I38" s="10"/>
      <c r="J38">
        <f>IF(((Qmax-C38)/Tmax)&lt;((Qph-C38)/Tph),0,IF(Tecs=F38,1,0)*IF(E38=$B$1,1,0)*IF(C38&gt;=$B$2,1,0)*IF(('Tool ECS'!$C$32+1.2*pw*cw*(Tecs-Tef)*(Qmax-C38)/Tmax)&lt;G38,1,0))</f>
        <v>0</v>
      </c>
      <c r="K38" s="10" t="str">
        <f>CONCATENATE("2 préparateurs ",B32," raccordés en parallèle")</f>
        <v>2 préparateurs OBPB 300 raccordés en parallèle</v>
      </c>
      <c r="L38" s="34">
        <f>L32</f>
        <v>170</v>
      </c>
      <c r="M38" s="10">
        <f t="shared" si="17"/>
        <v>17</v>
      </c>
      <c r="N38" s="10">
        <f t="shared" si="18"/>
        <v>0.98599999999999999</v>
      </c>
      <c r="P38" s="23"/>
      <c r="Q38" s="25"/>
      <c r="R38" s="26"/>
    </row>
    <row r="39" spans="1:18" x14ac:dyDescent="0.2">
      <c r="A39">
        <f t="shared" si="13"/>
        <v>0</v>
      </c>
      <c r="B39" s="10" t="s">
        <v>335</v>
      </c>
      <c r="C39" s="10">
        <v>650</v>
      </c>
      <c r="D39" s="10">
        <v>3.7</v>
      </c>
      <c r="E39" s="10">
        <v>70</v>
      </c>
      <c r="F39" s="11">
        <v>60</v>
      </c>
      <c r="G39" s="32">
        <v>64.599999999999994</v>
      </c>
      <c r="H39" s="30">
        <f t="shared" si="16"/>
        <v>1114</v>
      </c>
      <c r="I39" s="10"/>
      <c r="J39">
        <f>IF(((Qmax-C39)/Tmax)&lt;((Qph-C39)/Tph),0,IF(Tecs=F39,1,0)*IF(E39=$B$1,1,0)*IF(C39&gt;=$B$2,1,0)*IF(('Tool ECS'!$C$32+1.2*pw*cw*(Tecs-Tef)*(Qmax-C39)/Tmax)&lt;G39,1,0))</f>
        <v>0</v>
      </c>
      <c r="K39" s="10" t="s">
        <v>351</v>
      </c>
      <c r="L39" s="34">
        <v>120</v>
      </c>
      <c r="M39" s="10">
        <f t="shared" si="17"/>
        <v>12</v>
      </c>
      <c r="N39" s="10">
        <f t="shared" si="18"/>
        <v>1.1140000000000001</v>
      </c>
      <c r="P39" s="23"/>
      <c r="Q39" s="25"/>
      <c r="R39" s="26"/>
    </row>
    <row r="40" spans="1:18" x14ac:dyDescent="0.2">
      <c r="A40">
        <f t="shared" si="13"/>
        <v>0</v>
      </c>
      <c r="B40" s="10" t="str">
        <f>CONCATENATE("2 - ",B33)</f>
        <v>2 - OBLC 400</v>
      </c>
      <c r="C40" s="10">
        <f>2*C33</f>
        <v>780</v>
      </c>
      <c r="D40" s="10">
        <v>6</v>
      </c>
      <c r="E40" s="10">
        <v>70</v>
      </c>
      <c r="F40" s="11">
        <v>60</v>
      </c>
      <c r="G40" s="29">
        <f>2*G33</f>
        <v>59.4</v>
      </c>
      <c r="H40" s="30">
        <f t="shared" si="16"/>
        <v>1024</v>
      </c>
      <c r="I40" s="10"/>
      <c r="J40">
        <f>IF(((Qmax-C40)/Tmax)&lt;((Qph-C40)/Tph),0,IF(Tecs=F40,1,0)*IF(E40=$B$1,1,0)*IF(C40&gt;=$B$2,1,0)*IF(('Tool ECS'!$C$32+1.2*pw*cw*(Tecs-Tef)*(Qmax-C40)/Tmax)&lt;G40,1,0))</f>
        <v>0</v>
      </c>
      <c r="K40" s="10" t="str">
        <f>CONCATENATE("2 préparateurs ",B33," raccordés en parallèle")</f>
        <v>2 préparateurs OBLC 400 raccordés en parallèle</v>
      </c>
      <c r="L40" s="34">
        <f>L33</f>
        <v>170</v>
      </c>
      <c r="M40" s="10">
        <f t="shared" si="17"/>
        <v>17</v>
      </c>
      <c r="N40" s="10">
        <f t="shared" si="18"/>
        <v>1.024</v>
      </c>
      <c r="P40" s="23"/>
      <c r="Q40" s="25"/>
      <c r="R40" s="26"/>
    </row>
    <row r="41" spans="1:18" x14ac:dyDescent="0.2">
      <c r="A41">
        <f t="shared" si="13"/>
        <v>0</v>
      </c>
      <c r="B41" s="10" t="str">
        <f>CONCATENATE("2 - ",B34)</f>
        <v>2 - OBPB 400</v>
      </c>
      <c r="C41" s="10">
        <f>2*C34</f>
        <v>770</v>
      </c>
      <c r="D41" s="10">
        <v>6</v>
      </c>
      <c r="E41" s="10">
        <v>70</v>
      </c>
      <c r="F41" s="11">
        <v>60</v>
      </c>
      <c r="G41" s="29">
        <f>2*G34</f>
        <v>72</v>
      </c>
      <c r="H41" s="30">
        <f t="shared" si="16"/>
        <v>1241</v>
      </c>
      <c r="I41" s="10"/>
      <c r="J41">
        <f>IF(((Qmax-C41)/Tmax)&lt;((Qph-C41)/Tph),0,IF(Tecs=F41,1,0)*IF(E41=$B$1,1,0)*IF(C41&gt;=$B$2,1,0)*IF(('Tool ECS'!$C$32+1.2*pw*cw*(Tecs-Tef)*(Qmax-C41)/Tmax)&lt;G41,1,0))</f>
        <v>0</v>
      </c>
      <c r="K41" s="10" t="str">
        <f>CONCATENATE("2 préparateurs ",B34," raccordés en parallèle")</f>
        <v>2 préparateurs OBPB 400 raccordés en parallèle</v>
      </c>
      <c r="L41" s="34">
        <f>L34</f>
        <v>200</v>
      </c>
      <c r="M41" s="10">
        <f t="shared" si="17"/>
        <v>20</v>
      </c>
      <c r="N41" s="10">
        <f t="shared" si="18"/>
        <v>1.2410000000000001</v>
      </c>
      <c r="P41" s="23"/>
      <c r="Q41" s="25"/>
      <c r="R41" s="26"/>
    </row>
    <row r="42" spans="1:18" x14ac:dyDescent="0.2">
      <c r="A42">
        <f t="shared" si="13"/>
        <v>0</v>
      </c>
      <c r="B42" s="10" t="s">
        <v>336</v>
      </c>
      <c r="C42" s="10">
        <v>780</v>
      </c>
      <c r="D42" s="10">
        <v>3.7</v>
      </c>
      <c r="E42" s="10">
        <v>70</v>
      </c>
      <c r="F42" s="11">
        <v>60</v>
      </c>
      <c r="G42" s="32">
        <v>64.599999999999994</v>
      </c>
      <c r="H42" s="30">
        <f t="shared" si="16"/>
        <v>1114</v>
      </c>
      <c r="I42" s="10"/>
      <c r="J42">
        <f>IF(((Qmax-C42)/Tmax)&lt;((Qph-C42)/Tph),0,IF(Tecs=F42,1,0)*IF(E42=$B$1,1,0)*IF(C42&gt;=$B$2,1,0)*IF(('Tool ECS'!$C$32+1.2*pw*cw*(Tecs-Tef)*(Qmax-C42)/Tmax)&lt;G42,1,0))</f>
        <v>0</v>
      </c>
      <c r="K42" s="10" t="s">
        <v>352</v>
      </c>
      <c r="L42" s="34">
        <v>120</v>
      </c>
      <c r="M42" s="10">
        <f t="shared" si="17"/>
        <v>12</v>
      </c>
      <c r="N42" s="10">
        <f t="shared" si="18"/>
        <v>1.1140000000000001</v>
      </c>
      <c r="P42" s="23"/>
      <c r="Q42" s="25"/>
      <c r="R42" s="26"/>
    </row>
    <row r="43" spans="1:18" x14ac:dyDescent="0.2">
      <c r="A43">
        <f t="shared" si="13"/>
        <v>0</v>
      </c>
      <c r="B43" s="10" t="str">
        <f>CONCATENATE("2 - ",B35)</f>
        <v>2 - OBLC 500</v>
      </c>
      <c r="C43" s="10">
        <f>2*C35</f>
        <v>990</v>
      </c>
      <c r="D43" s="10">
        <v>9</v>
      </c>
      <c r="E43" s="10">
        <v>70</v>
      </c>
      <c r="F43" s="11">
        <v>60</v>
      </c>
      <c r="G43" s="29">
        <f>3*G31</f>
        <v>62.099999999999994</v>
      </c>
      <c r="H43" s="30">
        <f t="shared" si="16"/>
        <v>1071</v>
      </c>
      <c r="I43" s="10"/>
      <c r="J43">
        <f>IF(((Qmax-C43)/Tmax)&lt;((Qph-C43)/Tph),0,IF(Tecs=F43,1,0)*IF(E43=$B$1,1,0)*IF(C43&gt;=$B$2,1,0)*IF(('Tool ECS'!$C$32+1.2*pw*cw*(Tecs-Tef)*(Qmax-C43)/Tmax)&lt;G43,1,0))</f>
        <v>0</v>
      </c>
      <c r="K43" s="10" t="str">
        <f>CONCATENATE("3 préparateurs ",B31," raccordés en parallèle")</f>
        <v>3 préparateurs OBLC 300 raccordés en parallèle</v>
      </c>
      <c r="L43" s="34">
        <f>L31</f>
        <v>130</v>
      </c>
      <c r="M43" s="10">
        <f t="shared" si="17"/>
        <v>13</v>
      </c>
      <c r="N43" s="10">
        <f t="shared" si="18"/>
        <v>1.071</v>
      </c>
    </row>
    <row r="44" spans="1:18" x14ac:dyDescent="0.2">
      <c r="A44">
        <f t="shared" si="13"/>
        <v>0</v>
      </c>
      <c r="B44" s="10" t="s">
        <v>332</v>
      </c>
      <c r="C44" s="10">
        <f>3*C32</f>
        <v>870</v>
      </c>
      <c r="D44" s="10">
        <v>9</v>
      </c>
      <c r="E44" s="10">
        <v>70</v>
      </c>
      <c r="F44" s="11">
        <v>60</v>
      </c>
      <c r="G44" s="29">
        <f>3*G32</f>
        <v>85.800000000000011</v>
      </c>
      <c r="H44" s="30">
        <f t="shared" si="16"/>
        <v>1479</v>
      </c>
      <c r="I44" s="10"/>
      <c r="J44">
        <f>IF(((Qmax-C44)/Tmax)&lt;((Qph-C44)/Tph),0,IF(Tecs=F44,1,0)*IF(E44=$B$1,1,0)*IF(C44&gt;=$B$2,1,0)*IF(('Tool ECS'!$C$32+1.2*pw*cw*(Tecs-Tef)*(Qmax-C44)/Tmax)&lt;G44,1,0))</f>
        <v>0</v>
      </c>
      <c r="K44" s="10" t="str">
        <f>CONCATENATE("3 préparateurs ",B32," raccordés en parallèle")</f>
        <v>3 préparateurs OBPB 300 raccordés en parallèle</v>
      </c>
      <c r="L44" s="34">
        <f>L32</f>
        <v>170</v>
      </c>
      <c r="M44" s="10">
        <f t="shared" si="17"/>
        <v>17</v>
      </c>
      <c r="N44" s="10">
        <f t="shared" si="18"/>
        <v>1.4790000000000001</v>
      </c>
    </row>
    <row r="45" spans="1:18" x14ac:dyDescent="0.2">
      <c r="A45">
        <f t="shared" si="13"/>
        <v>0</v>
      </c>
      <c r="B45" s="10" t="s">
        <v>337</v>
      </c>
      <c r="C45" s="10">
        <v>980</v>
      </c>
      <c r="D45" s="10">
        <v>4.0999999999999996</v>
      </c>
      <c r="E45" s="10">
        <v>70</v>
      </c>
      <c r="F45" s="11">
        <v>60</v>
      </c>
      <c r="G45" s="32">
        <v>71.099999999999994</v>
      </c>
      <c r="H45" s="30">
        <f t="shared" si="16"/>
        <v>1226</v>
      </c>
      <c r="I45" s="10"/>
      <c r="J45">
        <f>IF(((Qmax-C45)/Tmax)&lt;((Qph-C45)/Tph),0,IF(Tecs=F45,1,0)*IF(E45=$B$1,1,0)*IF(C45&gt;=$B$2,1,0)*IF(('Tool ECS'!$C$32+1.2*pw*cw*(Tecs-Tef)*(Qmax-C45)/Tmax)&lt;G45,1,0))</f>
        <v>0</v>
      </c>
      <c r="K45" s="10" t="s">
        <v>353</v>
      </c>
      <c r="L45" s="34">
        <v>160</v>
      </c>
      <c r="M45" s="10">
        <f t="shared" si="17"/>
        <v>16</v>
      </c>
      <c r="N45" s="10">
        <f t="shared" si="18"/>
        <v>1.226</v>
      </c>
    </row>
    <row r="46" spans="1:18" x14ac:dyDescent="0.2">
      <c r="A46">
        <f t="shared" si="13"/>
        <v>0</v>
      </c>
      <c r="B46" s="10" t="str">
        <f>CONCATENATE("2 - ",B35)</f>
        <v>2 - OBLC 500</v>
      </c>
      <c r="C46" s="10">
        <f>2*C35</f>
        <v>990</v>
      </c>
      <c r="D46" s="10">
        <v>6</v>
      </c>
      <c r="E46" s="10">
        <v>70</v>
      </c>
      <c r="F46" s="11">
        <v>60</v>
      </c>
      <c r="G46" s="29">
        <f>2*G35</f>
        <v>70</v>
      </c>
      <c r="H46" s="30">
        <f t="shared" si="16"/>
        <v>1207</v>
      </c>
      <c r="I46" s="21"/>
      <c r="J46">
        <f>IF(((Qmax-C46)/Tmax)&lt;((Qph-C46)/Tph),0,IF(Tecs=F46,1,0)*IF(E46=$B$1,1,0)*IF(C46&gt;=$B$2,1,0)*IF(('Tool ECS'!$C$32+1.2*pw*cw*(Tecs-Tef)*(Qmax-C46)/Tmax)&lt;G46,1,0))</f>
        <v>0</v>
      </c>
      <c r="K46" s="10" t="str">
        <f>CONCATENATE("2 préparateurs ",B35," raccordés en parallèle")</f>
        <v>2 préparateurs OBLC 500 raccordés en parallèle</v>
      </c>
      <c r="L46" s="34">
        <f>L35</f>
        <v>200</v>
      </c>
      <c r="M46" s="10">
        <f t="shared" si="17"/>
        <v>20</v>
      </c>
      <c r="N46" s="10">
        <f t="shared" si="18"/>
        <v>1.2070000000000001</v>
      </c>
    </row>
    <row r="47" spans="1:18" x14ac:dyDescent="0.2">
      <c r="A47">
        <f t="shared" si="13"/>
        <v>0</v>
      </c>
      <c r="B47" s="10" t="str">
        <f>CONCATENATE("2 - ",B36)</f>
        <v>2 - OBPB 500</v>
      </c>
      <c r="C47" s="10">
        <f>2*C36</f>
        <v>970</v>
      </c>
      <c r="D47" s="10">
        <v>6</v>
      </c>
      <c r="E47" s="10">
        <v>70</v>
      </c>
      <c r="F47" s="11">
        <v>60</v>
      </c>
      <c r="G47" s="29">
        <f>2*G36</f>
        <v>91.2</v>
      </c>
      <c r="H47" s="30">
        <f t="shared" si="16"/>
        <v>1572</v>
      </c>
      <c r="I47" s="21"/>
      <c r="J47">
        <f>IF(((Qmax-C47)/Tmax)&lt;((Qph-C47)/Tph),0,IF(Tecs=F47,1,0)*IF(E47=$B$1,1,0)*IF(C47&gt;=$B$2,1,0)*IF(('Tool ECS'!$C$32+1.2*pw*cw*(Tecs-Tef)*(Qmax-C47)/Tmax)&lt;G47,1,0))</f>
        <v>0</v>
      </c>
      <c r="K47" s="10" t="str">
        <f>CONCATENATE("2 préparateurs ",B36," raccordés en parallèle")</f>
        <v>2 préparateurs OBPB 500 raccordés en parallèle</v>
      </c>
      <c r="L47" s="34">
        <f>L36</f>
        <v>260</v>
      </c>
      <c r="M47" s="10">
        <f t="shared" si="17"/>
        <v>26</v>
      </c>
      <c r="N47" s="10">
        <f t="shared" si="18"/>
        <v>1.5720000000000001</v>
      </c>
    </row>
    <row r="48" spans="1:18" x14ac:dyDescent="0.2">
      <c r="A48">
        <f t="shared" si="13"/>
        <v>0</v>
      </c>
      <c r="B48" s="10" t="s">
        <v>325</v>
      </c>
      <c r="C48" s="10">
        <f>3*C33</f>
        <v>1170</v>
      </c>
      <c r="D48" s="10">
        <v>9</v>
      </c>
      <c r="E48" s="10">
        <v>70</v>
      </c>
      <c r="F48" s="11">
        <v>60</v>
      </c>
      <c r="G48" s="29">
        <f>3*G33</f>
        <v>89.1</v>
      </c>
      <c r="H48" s="30">
        <f t="shared" si="16"/>
        <v>1536</v>
      </c>
      <c r="I48" s="21"/>
      <c r="J48">
        <f>IF(((Qmax-C48)/Tmax)&lt;((Qph-C48)/Tph),0,IF(Tecs=F48,1,0)*IF(E48=$B$1,1,0)*IF(C48&gt;=$B$2,1,0)*IF(('Tool ECS'!$C$32+1.2*pw*cw*(Tecs-Tef)*(Qmax-C48)/Tmax)&lt;G48,1,0))</f>
        <v>0</v>
      </c>
      <c r="K48" s="10" t="str">
        <f>CONCATENATE("3 préparateurs ",B33," raccordés en parallèle")</f>
        <v>3 préparateurs OBLC 400 raccordés en parallèle</v>
      </c>
      <c r="L48" s="34">
        <f>L33</f>
        <v>170</v>
      </c>
      <c r="M48" s="10">
        <f t="shared" si="17"/>
        <v>17</v>
      </c>
      <c r="N48" s="10">
        <f t="shared" si="18"/>
        <v>1.536</v>
      </c>
    </row>
    <row r="49" spans="1:14" x14ac:dyDescent="0.2">
      <c r="A49">
        <f t="shared" si="13"/>
        <v>0</v>
      </c>
      <c r="B49" s="10" t="s">
        <v>333</v>
      </c>
      <c r="C49" s="10">
        <f>3*C34</f>
        <v>1155</v>
      </c>
      <c r="D49" s="10">
        <v>9</v>
      </c>
      <c r="E49" s="10">
        <v>70</v>
      </c>
      <c r="F49" s="11">
        <v>60</v>
      </c>
      <c r="G49" s="29">
        <f>3*G34</f>
        <v>108</v>
      </c>
      <c r="H49" s="30">
        <f t="shared" si="16"/>
        <v>1862</v>
      </c>
      <c r="I49" s="21"/>
      <c r="J49">
        <f>IF(((Qmax-C49)/Tmax)&lt;((Qph-C49)/Tph),0,IF(Tecs=F49,1,0)*IF(E49=$B$1,1,0)*IF(C49&gt;=$B$2,1,0)*IF(('Tool ECS'!$C$32+1.2*pw*cw*(Tecs-Tef)*(Qmax-C49)/Tmax)&lt;G49,1,0))</f>
        <v>0</v>
      </c>
      <c r="K49" s="10" t="str">
        <f>CONCATENATE("3 préparateurs ",B34," raccordés en parallèle")</f>
        <v>3 préparateurs OBPB 400 raccordés en parallèle</v>
      </c>
      <c r="L49" s="34">
        <f>L34</f>
        <v>200</v>
      </c>
      <c r="M49" s="10">
        <f t="shared" si="17"/>
        <v>20</v>
      </c>
      <c r="N49" s="10">
        <f t="shared" si="18"/>
        <v>1.8620000000000001</v>
      </c>
    </row>
    <row r="50" spans="1:14" x14ac:dyDescent="0.2">
      <c r="A50">
        <f t="shared" si="13"/>
        <v>0</v>
      </c>
      <c r="B50" s="10" t="s">
        <v>338</v>
      </c>
      <c r="C50" s="10">
        <f>2*C39</f>
        <v>1300</v>
      </c>
      <c r="D50" s="10">
        <f>2*D39</f>
        <v>7.4</v>
      </c>
      <c r="E50" s="10">
        <v>70</v>
      </c>
      <c r="F50" s="11">
        <v>60</v>
      </c>
      <c r="G50" s="33">
        <f>2*G39</f>
        <v>129.19999999999999</v>
      </c>
      <c r="H50" s="30">
        <f t="shared" si="16"/>
        <v>2228</v>
      </c>
      <c r="I50" s="10"/>
      <c r="J50">
        <f>IF(((Qmax-C50)/Tmax)&lt;((Qph-C50)/Tph),0,IF(Tecs=F50,1,0)*IF(E50=$B$1,1,0)*IF(C50&gt;=$B$2,1,0)*IF(('Tool ECS'!$C$32+1.2*pw*cw*(Tecs-Tef)*(Qmax-C50)/Tmax)&lt;G50,1,0))</f>
        <v>0</v>
      </c>
      <c r="K50" s="10" t="s">
        <v>354</v>
      </c>
      <c r="L50" s="34">
        <f>L39</f>
        <v>120</v>
      </c>
      <c r="M50" s="10">
        <f t="shared" si="17"/>
        <v>12</v>
      </c>
      <c r="N50" s="10">
        <f t="shared" si="18"/>
        <v>2.2280000000000002</v>
      </c>
    </row>
    <row r="51" spans="1:14" x14ac:dyDescent="0.2">
      <c r="A51">
        <f t="shared" si="13"/>
        <v>0</v>
      </c>
      <c r="B51" s="10" t="s">
        <v>339</v>
      </c>
      <c r="C51" s="10">
        <v>1500</v>
      </c>
      <c r="D51" s="10">
        <v>5.0999999999999996</v>
      </c>
      <c r="E51" s="10">
        <v>70</v>
      </c>
      <c r="F51" s="11">
        <v>60</v>
      </c>
      <c r="G51" s="33">
        <v>88.8</v>
      </c>
      <c r="H51" s="30">
        <f t="shared" si="16"/>
        <v>1531</v>
      </c>
      <c r="I51" s="10"/>
      <c r="J51">
        <f>IF(((Qmax-C51)/Tmax)&lt;((Qph-C51)/Tph),0,IF(Tecs=F51,1,0)*IF(E51=$B$1,1,0)*IF(C51&gt;=$B$2,1,0)*IF(('Tool ECS'!$C$32+1.2*pw*cw*(Tecs-Tef)*(Qmax-C51)/Tmax)&lt;G51,1,0))</f>
        <v>0</v>
      </c>
      <c r="K51" s="10" t="str">
        <f>CONCATENATE("1 préparateur ",B51)</f>
        <v>1 préparateur OB 1500</v>
      </c>
      <c r="L51" s="34">
        <v>310</v>
      </c>
      <c r="M51" s="10">
        <f t="shared" si="17"/>
        <v>31</v>
      </c>
      <c r="N51" s="10">
        <f t="shared" si="18"/>
        <v>1.5309999999999999</v>
      </c>
    </row>
    <row r="52" spans="1:14" x14ac:dyDescent="0.2">
      <c r="A52">
        <f t="shared" si="13"/>
        <v>0</v>
      </c>
      <c r="B52" s="10" t="s">
        <v>326</v>
      </c>
      <c r="C52" s="10">
        <f>3*C35</f>
        <v>1485</v>
      </c>
      <c r="D52" s="10">
        <v>9</v>
      </c>
      <c r="E52" s="10">
        <v>70</v>
      </c>
      <c r="F52" s="11">
        <v>60</v>
      </c>
      <c r="G52" s="29">
        <f>3*G35</f>
        <v>105</v>
      </c>
      <c r="H52" s="30">
        <f t="shared" si="16"/>
        <v>1810</v>
      </c>
      <c r="I52" s="21"/>
      <c r="J52">
        <f>IF(((Qmax-C52)/Tmax)&lt;((Qph-C52)/Tph),0,IF(Tecs=F52,1,0)*IF(E52=$B$1,1,0)*IF(C52&gt;=$B$2,1,0)*IF(('Tool ECS'!$C$32+1.2*pw*cw*(Tecs-Tef)*(Qmax-C52)/Tmax)&lt;G52,1,0))</f>
        <v>0</v>
      </c>
      <c r="K52" s="10" t="str">
        <f>CONCATENATE("3 préparateurs ",B35," raccordés en parallèle")</f>
        <v>3 préparateurs OBLC 500 raccordés en parallèle</v>
      </c>
      <c r="L52" s="34">
        <f>L35</f>
        <v>200</v>
      </c>
      <c r="M52" s="10">
        <f t="shared" si="17"/>
        <v>20</v>
      </c>
      <c r="N52" s="10">
        <f t="shared" si="18"/>
        <v>1.81</v>
      </c>
    </row>
    <row r="53" spans="1:14" x14ac:dyDescent="0.2">
      <c r="A53">
        <f t="shared" si="13"/>
        <v>0</v>
      </c>
      <c r="B53" s="10" t="s">
        <v>334</v>
      </c>
      <c r="C53" s="10">
        <f>3*C36</f>
        <v>1455</v>
      </c>
      <c r="D53" s="10">
        <v>9</v>
      </c>
      <c r="E53" s="10">
        <v>70</v>
      </c>
      <c r="F53" s="11">
        <v>60</v>
      </c>
      <c r="G53" s="29">
        <f>3*G36</f>
        <v>136.80000000000001</v>
      </c>
      <c r="H53" s="30">
        <f t="shared" si="16"/>
        <v>2359</v>
      </c>
      <c r="I53" s="21"/>
      <c r="J53">
        <f>IF(((Qmax-C53)/Tmax)&lt;((Qph-C53)/Tph),0,IF(Tecs=F53,1,0)*IF(E53=$B$1,1,0)*IF(C53&gt;=$B$2,1,0)*IF(('Tool ECS'!$C$32+1.2*pw*cw*(Tecs-Tef)*(Qmax-C53)/Tmax)&lt;G53,1,0))</f>
        <v>0</v>
      </c>
      <c r="K53" s="10" t="str">
        <f>CONCATENATE("3 préparateurs ",B36," raccordés en parallèle")</f>
        <v>3 préparateurs OBPB 500 raccordés en parallèle</v>
      </c>
      <c r="L53" s="34">
        <f>L36</f>
        <v>260</v>
      </c>
      <c r="M53" s="10">
        <f t="shared" si="17"/>
        <v>26</v>
      </c>
      <c r="N53" s="10">
        <f t="shared" si="18"/>
        <v>2.359</v>
      </c>
    </row>
    <row r="54" spans="1:14" x14ac:dyDescent="0.2">
      <c r="A54">
        <f t="shared" si="13"/>
        <v>0</v>
      </c>
      <c r="B54" s="10" t="s">
        <v>340</v>
      </c>
      <c r="C54" s="10">
        <f>780*2</f>
        <v>1560</v>
      </c>
      <c r="D54" s="10">
        <f>2*D42</f>
        <v>7.4</v>
      </c>
      <c r="E54" s="10">
        <v>70</v>
      </c>
      <c r="F54" s="11">
        <v>60</v>
      </c>
      <c r="G54" s="32">
        <f>2*G42</f>
        <v>129.19999999999999</v>
      </c>
      <c r="H54" s="30">
        <f t="shared" si="16"/>
        <v>2228</v>
      </c>
      <c r="I54" s="10"/>
      <c r="J54">
        <f>IF(((Qmax-C54)/Tmax)&lt;((Qph-C54)/Tph),0,IF(Tecs=F54,1,0)*IF(E54=$B$1,1,0)*IF(C54&gt;=$B$2,1,0)*IF(('Tool ECS'!$C$32+1.2*pw*cw*(Tecs-Tef)*(Qmax-C54)/Tmax)&lt;G54,1,0))</f>
        <v>0</v>
      </c>
      <c r="K54" s="10" t="s">
        <v>355</v>
      </c>
      <c r="L54" s="34">
        <f>L42</f>
        <v>120</v>
      </c>
      <c r="M54" s="10">
        <f t="shared" si="17"/>
        <v>12</v>
      </c>
      <c r="N54" s="10">
        <f t="shared" si="18"/>
        <v>2.2280000000000002</v>
      </c>
    </row>
    <row r="55" spans="1:14" x14ac:dyDescent="0.2">
      <c r="A55">
        <f t="shared" si="13"/>
        <v>0</v>
      </c>
      <c r="B55" s="10" t="s">
        <v>341</v>
      </c>
      <c r="C55" s="10">
        <f>3*C39</f>
        <v>1950</v>
      </c>
      <c r="D55" s="10">
        <f>3*D39</f>
        <v>11.100000000000001</v>
      </c>
      <c r="E55" s="10">
        <v>70</v>
      </c>
      <c r="F55" s="11">
        <v>60</v>
      </c>
      <c r="G55" s="33">
        <f>3*G39</f>
        <v>193.79999999999998</v>
      </c>
      <c r="H55" s="30">
        <f t="shared" si="16"/>
        <v>3341</v>
      </c>
      <c r="I55" s="10"/>
      <c r="J55">
        <f>IF(((Qmax-C55)/Tmax)&lt;((Qph-C55)/Tph),0,IF(Tecs=F55,1,0)*IF(E55=$B$1,1,0)*IF(C55&gt;=$B$2,1,0)*IF(('Tool ECS'!$C$32+1.2*pw*cw*(Tecs-Tef)*(Qmax-C55)/Tmax)&lt;G55,1,0))</f>
        <v>0</v>
      </c>
      <c r="K55" s="10" t="s">
        <v>356</v>
      </c>
      <c r="L55" s="34">
        <f>L39</f>
        <v>120</v>
      </c>
      <c r="M55" s="10">
        <f t="shared" si="17"/>
        <v>12</v>
      </c>
      <c r="N55" s="10">
        <f t="shared" si="18"/>
        <v>3.3410000000000002</v>
      </c>
    </row>
    <row r="56" spans="1:14" x14ac:dyDescent="0.2">
      <c r="A56">
        <f t="shared" si="13"/>
        <v>0</v>
      </c>
      <c r="B56" s="10" t="s">
        <v>342</v>
      </c>
      <c r="C56" s="10">
        <v>2000</v>
      </c>
      <c r="D56" s="10">
        <v>5.0999999999999996</v>
      </c>
      <c r="E56" s="10">
        <v>70</v>
      </c>
      <c r="F56" s="11">
        <v>60</v>
      </c>
      <c r="G56" s="33">
        <v>88.8</v>
      </c>
      <c r="H56" s="30">
        <f t="shared" si="16"/>
        <v>1531</v>
      </c>
      <c r="I56" s="10"/>
      <c r="J56">
        <f>IF(((Qmax-C56)/Tmax)&lt;((Qph-C56)/Tph),0,IF(Tecs=F56,1,0)*IF(E56=$B$1,1,0)*IF(C56&gt;=$B$2,1,0)*IF(('Tool ECS'!$C$32+1.2*pw*cw*(Tecs-Tef)*(Qmax-C56)/Tmax)&lt;G56,1,0))</f>
        <v>0</v>
      </c>
      <c r="K56" s="10" t="str">
        <f>CONCATENATE("1 préparateur ",B56)</f>
        <v>1 préparateur OB 2000</v>
      </c>
      <c r="L56" s="34">
        <v>310</v>
      </c>
      <c r="M56" s="10">
        <f t="shared" si="17"/>
        <v>31</v>
      </c>
      <c r="N56" s="10">
        <f t="shared" si="18"/>
        <v>1.5309999999999999</v>
      </c>
    </row>
    <row r="57" spans="1:14" x14ac:dyDescent="0.2">
      <c r="A57">
        <f t="shared" si="13"/>
        <v>0</v>
      </c>
      <c r="B57" s="10" t="s">
        <v>343</v>
      </c>
      <c r="C57" s="10">
        <f>2*980</f>
        <v>1960</v>
      </c>
      <c r="D57" s="10">
        <f>2*D45</f>
        <v>8.1999999999999993</v>
      </c>
      <c r="E57" s="10">
        <v>70</v>
      </c>
      <c r="F57" s="11">
        <v>60</v>
      </c>
      <c r="G57" s="32">
        <f>2*G45</f>
        <v>142.19999999999999</v>
      </c>
      <c r="H57" s="30">
        <f t="shared" si="16"/>
        <v>2452</v>
      </c>
      <c r="I57" s="10"/>
      <c r="J57">
        <f>IF(((Qmax-C57)/Tmax)&lt;((Qph-C57)/Tph),0,IF(Tecs=F57,1,0)*IF(E57=$B$1,1,0)*IF(C57&gt;=$B$2,1,0)*IF(('Tool ECS'!$C$32+1.2*pw*cw*(Tecs-Tef)*(Qmax-C57)/Tmax)&lt;G57,1,0))</f>
        <v>0</v>
      </c>
      <c r="K57" s="10" t="str">
        <f>CONCATENATE("2 préparateurs ",B45," raccordés en parallèle")</f>
        <v>2 préparateurs OB 1000 raccordés en parallèle</v>
      </c>
      <c r="L57" s="34">
        <f>L45</f>
        <v>160</v>
      </c>
      <c r="M57" s="10">
        <f t="shared" si="17"/>
        <v>16</v>
      </c>
      <c r="N57" s="10">
        <f t="shared" si="18"/>
        <v>2.452</v>
      </c>
    </row>
    <row r="58" spans="1:14" x14ac:dyDescent="0.2">
      <c r="A58">
        <f t="shared" si="13"/>
        <v>0</v>
      </c>
      <c r="B58" s="10" t="s">
        <v>344</v>
      </c>
      <c r="C58" s="10">
        <v>2500</v>
      </c>
      <c r="D58" s="10">
        <v>5.0999999999999996</v>
      </c>
      <c r="E58" s="10">
        <v>70</v>
      </c>
      <c r="F58" s="11">
        <v>60</v>
      </c>
      <c r="G58" s="33">
        <v>88.8</v>
      </c>
      <c r="H58" s="30">
        <f>ROUND(G58*1000/1.16/50,0)</f>
        <v>1531</v>
      </c>
      <c r="I58" s="10"/>
      <c r="J58">
        <f>IF(((Qmax-C58)/Tmax)&lt;((Qph-C58)/Tph),0,IF(Tecs=F58,1,0)*IF(E58=$B$1,1,0)*IF(C58&gt;=$B$2,1,0)*IF(('Tool ECS'!$C$32+1.2*pw*cw*(Tecs-Tef)*(Qmax-C58)/Tmax)&lt;G58,1,0))</f>
        <v>0</v>
      </c>
      <c r="K58" s="10" t="str">
        <f>CONCATENATE("1 préparateur ",B58)</f>
        <v>1 préparateur OB 2500</v>
      </c>
      <c r="L58" s="34">
        <v>310</v>
      </c>
      <c r="M58" s="10">
        <f t="shared" si="17"/>
        <v>31</v>
      </c>
      <c r="N58" s="10">
        <f t="shared" si="18"/>
        <v>1.5309999999999999</v>
      </c>
    </row>
    <row r="59" spans="1:14" x14ac:dyDescent="0.2">
      <c r="A59">
        <f t="shared" si="13"/>
        <v>0</v>
      </c>
      <c r="B59" s="10" t="s">
        <v>345</v>
      </c>
      <c r="C59" s="10">
        <v>3000</v>
      </c>
      <c r="D59" s="10">
        <f>2*D51</f>
        <v>10.199999999999999</v>
      </c>
      <c r="E59" s="10">
        <v>70</v>
      </c>
      <c r="F59" s="11">
        <v>60</v>
      </c>
      <c r="G59" s="33">
        <f>2*G51</f>
        <v>177.6</v>
      </c>
      <c r="H59" s="30">
        <f t="shared" ref="H59:H65" si="19">ROUND(G59*1000/1.16/50,0)</f>
        <v>3062</v>
      </c>
      <c r="I59" s="10"/>
      <c r="J59">
        <f>IF(((Qmax-C59)/Tmax)&lt;((Qph-C59)/Tph),0,IF(Tecs=F59,1,0)*IF(E59=$B$1,1,0)*IF(C59&gt;=$B$2,1,0)*IF(('Tool ECS'!$C$32+1.2*pw*cw*(Tecs-Tef)*(Qmax-C59)/Tmax)&lt;G59,1,0))</f>
        <v>0</v>
      </c>
      <c r="K59" s="10" t="str">
        <f>CONCATENATE("2 préparateurs ",B51," raccordés en parallèle")</f>
        <v>2 préparateurs OB 1500 raccordés en parallèle</v>
      </c>
      <c r="L59" s="34">
        <v>310</v>
      </c>
      <c r="M59" s="10">
        <f>L59/10</f>
        <v>31</v>
      </c>
      <c r="N59" s="10">
        <f t="shared" si="18"/>
        <v>3.0619999999999998</v>
      </c>
    </row>
    <row r="60" spans="1:14" x14ac:dyDescent="0.2">
      <c r="A60">
        <f t="shared" si="13"/>
        <v>0</v>
      </c>
      <c r="B60" s="10" t="s">
        <v>346</v>
      </c>
      <c r="C60" s="10">
        <v>3000</v>
      </c>
      <c r="D60" s="10">
        <v>5.0999999999999996</v>
      </c>
      <c r="E60" s="10">
        <v>70</v>
      </c>
      <c r="F60" s="11">
        <v>60</v>
      </c>
      <c r="G60" s="33">
        <v>88.8</v>
      </c>
      <c r="H60" s="30">
        <f t="shared" si="19"/>
        <v>1531</v>
      </c>
      <c r="I60" s="10"/>
      <c r="J60">
        <f>IF(((Qmax-C60)/Tmax)&lt;((Qph-C60)/Tph),0,IF(Tecs=F60,1,0)*IF(E60=$B$1,1,0)*IF(C60&gt;=$B$2,1,0)*IF(('Tool ECS'!$C$32+1.2*pw*cw*(Tecs-Tef)*(Qmax-C60)/Tmax)&lt;G60,1,0))</f>
        <v>0</v>
      </c>
      <c r="K60" s="10" t="str">
        <f>CONCATENATE("1 préparateur ",B60)</f>
        <v>1 préparateur OB 3000</v>
      </c>
      <c r="L60" s="34">
        <v>310</v>
      </c>
      <c r="M60" s="10">
        <f>L60/10</f>
        <v>31</v>
      </c>
      <c r="N60" s="10">
        <f t="shared" si="18"/>
        <v>1.5309999999999999</v>
      </c>
    </row>
    <row r="61" spans="1:14" x14ac:dyDescent="0.2">
      <c r="A61">
        <f t="shared" si="13"/>
        <v>0</v>
      </c>
      <c r="B61" s="10" t="s">
        <v>347</v>
      </c>
      <c r="C61" s="10">
        <v>4000</v>
      </c>
      <c r="D61" s="10">
        <f>2*D56</f>
        <v>10.199999999999999</v>
      </c>
      <c r="E61" s="10">
        <v>70</v>
      </c>
      <c r="F61" s="11">
        <v>60</v>
      </c>
      <c r="G61" s="33">
        <f>2*G56</f>
        <v>177.6</v>
      </c>
      <c r="H61" s="30">
        <f t="shared" si="19"/>
        <v>3062</v>
      </c>
      <c r="I61" s="10"/>
      <c r="J61">
        <f>IF(((Qmax-C61)/Tmax)&lt;((Qph-C61)/Tph),0,IF(Tecs=F61,1,0)*IF(E61=$B$1,1,0)*IF(C61&gt;=$B$2,1,0)*IF(('Tool ECS'!$C$32+1.2*pw*cw*(Tecs-Tef)*(Qmax-C61)/Tmax)&lt;G61,1,0))</f>
        <v>0</v>
      </c>
      <c r="K61" s="10" t="str">
        <f>CONCATENATE("2 préparateurs ",B56," raccordés en parallèle")</f>
        <v>2 préparateurs OB 2000 raccordés en parallèle</v>
      </c>
      <c r="L61" s="34">
        <f>+L56</f>
        <v>310</v>
      </c>
      <c r="M61" s="10">
        <f>L61/10</f>
        <v>31</v>
      </c>
      <c r="N61" s="10">
        <f t="shared" si="18"/>
        <v>3.0619999999999998</v>
      </c>
    </row>
    <row r="62" spans="1:14" x14ac:dyDescent="0.2">
      <c r="A62">
        <f t="shared" si="13"/>
        <v>0</v>
      </c>
      <c r="B62" s="10" t="s">
        <v>348</v>
      </c>
      <c r="C62" s="10">
        <v>5000</v>
      </c>
      <c r="D62" s="10">
        <f>2*D58</f>
        <v>10.199999999999999</v>
      </c>
      <c r="E62" s="10">
        <v>70</v>
      </c>
      <c r="F62" s="11">
        <v>60</v>
      </c>
      <c r="G62" s="33">
        <f>2*G58</f>
        <v>177.6</v>
      </c>
      <c r="H62" s="30">
        <f t="shared" si="19"/>
        <v>3062</v>
      </c>
      <c r="I62" s="10"/>
      <c r="J62">
        <f>IF(((Qmax-C62)/Tmax)&lt;((Qph-C62)/Tph),0,IF(Tecs=F62,1,0)*IF(E62=$B$1,1,0)*IF(C62&gt;=$B$2,1,0)*IF(('Tool ECS'!$C$32+1.2*pw*cw*(Tecs-Tef)*(Qmax-C62)/Tmax)&lt;G62,1,0))</f>
        <v>0</v>
      </c>
      <c r="K62" s="10" t="str">
        <f>CONCATENATE("2 préparateurs ",B58," raccordés en parallèle")</f>
        <v>2 préparateurs OB 2500 raccordés en parallèle</v>
      </c>
      <c r="L62" s="34">
        <v>310</v>
      </c>
      <c r="M62" s="10">
        <f>L62/10</f>
        <v>31</v>
      </c>
      <c r="N62" s="10">
        <f t="shared" si="18"/>
        <v>3.0619999999999998</v>
      </c>
    </row>
    <row r="63" spans="1:14" ht="13.5" thickBot="1" x14ac:dyDescent="0.25">
      <c r="A63">
        <f t="shared" si="13"/>
        <v>0</v>
      </c>
      <c r="B63" s="10" t="s">
        <v>349</v>
      </c>
      <c r="C63" s="10">
        <v>6000</v>
      </c>
      <c r="D63" s="10">
        <f>2*D60</f>
        <v>10.199999999999999</v>
      </c>
      <c r="E63" s="10">
        <v>70</v>
      </c>
      <c r="F63" s="11">
        <v>60</v>
      </c>
      <c r="G63" s="33">
        <f>2*G60</f>
        <v>177.6</v>
      </c>
      <c r="H63" s="30">
        <f t="shared" si="19"/>
        <v>3062</v>
      </c>
      <c r="I63" s="10"/>
      <c r="J63">
        <f>IF(((Qmax-C63)/Tmax)&lt;((Qph-C63)/Tph),0,IF(Tecs=F63,1,0)*IF(E63=$B$1,1,0)*IF(C63&gt;=$B$2,1,0)*IF(('Tool ECS'!$C$32+1.2*pw*cw*(Tecs-Tef)*(Qmax-C63)/Tmax)&lt;G63,1,0))</f>
        <v>0</v>
      </c>
      <c r="K63" s="10" t="str">
        <f>CONCATENATE("2 préparateurs ",B60," raccordés en parallèle")</f>
        <v>2 préparateurs OB 3000 raccordés en parallèle</v>
      </c>
      <c r="L63" s="34">
        <v>310</v>
      </c>
      <c r="M63" s="10">
        <f>L63/10</f>
        <v>31</v>
      </c>
      <c r="N63" s="10">
        <f t="shared" si="18"/>
        <v>3.0619999999999998</v>
      </c>
    </row>
    <row r="64" spans="1:14" x14ac:dyDescent="0.2">
      <c r="A64">
        <f t="shared" si="13"/>
        <v>0</v>
      </c>
      <c r="B64" s="12" t="s">
        <v>320</v>
      </c>
      <c r="C64" s="12">
        <v>145</v>
      </c>
      <c r="D64" s="12">
        <v>3</v>
      </c>
      <c r="E64" s="12">
        <v>80</v>
      </c>
      <c r="F64" s="13">
        <v>60</v>
      </c>
      <c r="G64" s="29">
        <v>21.3</v>
      </c>
      <c r="H64" s="30">
        <f t="shared" si="19"/>
        <v>367</v>
      </c>
      <c r="I64" s="12"/>
      <c r="J64">
        <f>IF(((Qmax-C64)/Tmax)&lt;((Qph-C64)/Tph),0,IF(Tecs=F64,1,0)*IF(E64=$B$1,1,0)*IF(C64&gt;=$B$2,1,0)*IF(('Tool ECS'!$C$32+1.2*pw*cw*(Tecs-Tef)*(Qmax-C64)/Tmax)&lt;G64,1,0))</f>
        <v>0</v>
      </c>
      <c r="K64" s="12" t="str">
        <f t="shared" ref="K64:K76" si="20">K27</f>
        <v>1 préparateur OBLC 150</v>
      </c>
      <c r="L64" s="35">
        <v>110</v>
      </c>
      <c r="M64" s="12">
        <f t="shared" si="17"/>
        <v>11</v>
      </c>
      <c r="N64" s="12">
        <f t="shared" si="18"/>
        <v>0.36699999999999999</v>
      </c>
    </row>
    <row r="65" spans="1:14" x14ac:dyDescent="0.2">
      <c r="A65">
        <f t="shared" si="13"/>
        <v>0</v>
      </c>
      <c r="B65" s="12" t="s">
        <v>327</v>
      </c>
      <c r="C65" s="12">
        <v>145</v>
      </c>
      <c r="D65" s="12">
        <v>3</v>
      </c>
      <c r="E65" s="12">
        <v>80</v>
      </c>
      <c r="F65" s="13">
        <v>60</v>
      </c>
      <c r="G65" s="29">
        <v>23.4</v>
      </c>
      <c r="H65" s="30">
        <f t="shared" si="19"/>
        <v>403</v>
      </c>
      <c r="I65" s="12"/>
      <c r="J65">
        <f>IF(((Qmax-C65)/Tmax)&lt;((Qph-C65)/Tph),0,IF(Tecs=F65,1,0)*IF(E65=$B$1,1,0)*IF(C65&gt;=$B$2,1,0)*IF(('Tool ECS'!$C$32+1.2*pw*cw*(Tecs-Tef)*(Qmax-C65)/Tmax)&lt;G65,1,0))</f>
        <v>0</v>
      </c>
      <c r="K65" s="12" t="str">
        <f t="shared" si="20"/>
        <v>1 préparateur OBPB 150</v>
      </c>
      <c r="L65" s="34">
        <v>120</v>
      </c>
      <c r="M65" s="12">
        <f t="shared" si="17"/>
        <v>12</v>
      </c>
      <c r="N65" s="12">
        <f t="shared" si="18"/>
        <v>0.40300000000000002</v>
      </c>
    </row>
    <row r="66" spans="1:14" x14ac:dyDescent="0.2">
      <c r="A66">
        <f t="shared" si="13"/>
        <v>0</v>
      </c>
      <c r="B66" s="12" t="s">
        <v>321</v>
      </c>
      <c r="C66" s="12">
        <v>195</v>
      </c>
      <c r="D66" s="12">
        <v>3</v>
      </c>
      <c r="E66" s="12">
        <v>80</v>
      </c>
      <c r="F66" s="13">
        <v>60</v>
      </c>
      <c r="G66" s="29">
        <v>27.1</v>
      </c>
      <c r="H66" s="30">
        <f t="shared" si="16"/>
        <v>467</v>
      </c>
      <c r="I66" s="12"/>
      <c r="J66">
        <f>IF(((Qmax-C66)/Tmax)&lt;((Qph-C66)/Tph),0,IF(Tecs=F66,1,0)*IF(E66=$B$1,1,0)*IF(C66&gt;=$B$2,1,0)*IF(('Tool ECS'!$C$32+1.2*pw*cw*(Tecs-Tef)*(Qmax-C66)/Tmax)&lt;G66,1,0))</f>
        <v>0</v>
      </c>
      <c r="K66" s="12" t="str">
        <f t="shared" si="20"/>
        <v>1 préparateur OBLC 200</v>
      </c>
      <c r="L66" s="34">
        <v>120</v>
      </c>
      <c r="M66" s="12">
        <f t="shared" si="17"/>
        <v>12</v>
      </c>
      <c r="N66" s="12">
        <f t="shared" si="18"/>
        <v>0.46700000000000003</v>
      </c>
    </row>
    <row r="67" spans="1:14" x14ac:dyDescent="0.2">
      <c r="A67">
        <f t="shared" si="13"/>
        <v>0</v>
      </c>
      <c r="B67" s="12" t="s">
        <v>328</v>
      </c>
      <c r="C67" s="12">
        <v>195</v>
      </c>
      <c r="D67" s="12">
        <v>3</v>
      </c>
      <c r="E67" s="12">
        <v>80</v>
      </c>
      <c r="F67" s="13">
        <v>60</v>
      </c>
      <c r="G67" s="29">
        <v>32</v>
      </c>
      <c r="H67" s="30">
        <f t="shared" si="16"/>
        <v>552</v>
      </c>
      <c r="I67" s="12"/>
      <c r="J67">
        <f>IF(((Qmax-C67)/Tmax)&lt;((Qph-C67)/Tph),0,IF(Tecs=F67,1,0)*IF(E67=$B$1,1,0)*IF(C67&gt;=$B$2,1,0)*IF(('Tool ECS'!$C$32+1.2*pw*cw*(Tecs-Tef)*(Qmax-C67)/Tmax)&lt;G67,1,0))</f>
        <v>0</v>
      </c>
      <c r="K67" s="12" t="str">
        <f t="shared" si="20"/>
        <v>1 préparateur OBPB 200</v>
      </c>
      <c r="L67" s="34">
        <v>140</v>
      </c>
      <c r="M67" s="12">
        <f t="shared" si="17"/>
        <v>14</v>
      </c>
      <c r="N67" s="12">
        <f t="shared" si="18"/>
        <v>0.55200000000000005</v>
      </c>
    </row>
    <row r="68" spans="1:14" x14ac:dyDescent="0.2">
      <c r="A68">
        <f t="shared" si="13"/>
        <v>0</v>
      </c>
      <c r="B68" s="12" t="s">
        <v>322</v>
      </c>
      <c r="C68" s="12">
        <v>295</v>
      </c>
      <c r="D68" s="12">
        <v>3</v>
      </c>
      <c r="E68" s="12">
        <v>80</v>
      </c>
      <c r="F68" s="13">
        <v>60</v>
      </c>
      <c r="G68" s="29">
        <v>32</v>
      </c>
      <c r="H68" s="30">
        <f t="shared" si="16"/>
        <v>552</v>
      </c>
      <c r="I68" s="12"/>
      <c r="J68">
        <f>IF(((Qmax-C68)/Tmax)&lt;((Qph-C68)/Tph),0,IF(Tecs=F68,1,0)*IF(E68=$B$1,1,0)*IF(C68&gt;=$B$2,1,0)*IF(('Tool ECS'!$C$32+1.2*pw*cw*(Tecs-Tef)*(Qmax-C68)/Tmax)&lt;G68,1,0))</f>
        <v>0</v>
      </c>
      <c r="K68" s="12" t="str">
        <f t="shared" si="20"/>
        <v>1 préparateur OBLC 300</v>
      </c>
      <c r="L68" s="34">
        <v>130</v>
      </c>
      <c r="M68" s="12">
        <f t="shared" si="17"/>
        <v>13</v>
      </c>
      <c r="N68" s="12">
        <f t="shared" si="18"/>
        <v>0.55200000000000005</v>
      </c>
    </row>
    <row r="69" spans="1:14" x14ac:dyDescent="0.2">
      <c r="A69">
        <f t="shared" si="13"/>
        <v>0</v>
      </c>
      <c r="B69" s="12" t="s">
        <v>329</v>
      </c>
      <c r="C69" s="12">
        <v>290</v>
      </c>
      <c r="D69" s="12">
        <v>3</v>
      </c>
      <c r="E69" s="12">
        <v>80</v>
      </c>
      <c r="F69" s="13">
        <v>60</v>
      </c>
      <c r="G69" s="29">
        <v>44.3</v>
      </c>
      <c r="H69" s="30">
        <f t="shared" si="16"/>
        <v>764</v>
      </c>
      <c r="I69" s="12"/>
      <c r="J69">
        <f>IF(((Qmax-C69)/Tmax)&lt;((Qph-C69)/Tph),0,IF(Tecs=F69,1,0)*IF(E69=$B$1,1,0)*IF(C69&gt;=$B$2,1,0)*IF(('Tool ECS'!$C$32+1.2*pw*cw*(Tecs-Tef)*(Qmax-C69)/Tmax)&lt;G69,1,0))</f>
        <v>0</v>
      </c>
      <c r="K69" s="12" t="str">
        <f t="shared" si="20"/>
        <v>1 préparateur OBPB 300</v>
      </c>
      <c r="L69" s="34">
        <v>170</v>
      </c>
      <c r="M69" s="12">
        <f t="shared" si="17"/>
        <v>17</v>
      </c>
      <c r="N69" s="12">
        <f t="shared" si="18"/>
        <v>0.76400000000000001</v>
      </c>
    </row>
    <row r="70" spans="1:14" x14ac:dyDescent="0.2">
      <c r="A70">
        <f t="shared" si="13"/>
        <v>0</v>
      </c>
      <c r="B70" s="12" t="s">
        <v>323</v>
      </c>
      <c r="C70" s="12">
        <v>390</v>
      </c>
      <c r="D70" s="12">
        <v>3</v>
      </c>
      <c r="E70" s="12">
        <v>80</v>
      </c>
      <c r="F70" s="13">
        <v>60</v>
      </c>
      <c r="G70" s="29">
        <v>45.9</v>
      </c>
      <c r="H70" s="30">
        <f t="shared" si="16"/>
        <v>791</v>
      </c>
      <c r="I70" s="12"/>
      <c r="J70">
        <f>IF(((Qmax-C70)/Tmax)&lt;((Qph-C70)/Tph),0,IF(Tecs=F70,1,0)*IF(E70=$B$1,1,0)*IF(C70&gt;=$B$2,1,0)*IF(('Tool ECS'!$C$32+1.2*pw*cw*(Tecs-Tef)*(Qmax-C70)/Tmax)&lt;G70,1,0))</f>
        <v>0</v>
      </c>
      <c r="K70" s="12" t="str">
        <f t="shared" si="20"/>
        <v>1 préparateur OBLC 400</v>
      </c>
      <c r="L70" s="34">
        <v>170</v>
      </c>
      <c r="M70" s="12">
        <f t="shared" si="17"/>
        <v>17</v>
      </c>
      <c r="N70" s="12">
        <f t="shared" si="18"/>
        <v>0.79100000000000004</v>
      </c>
    </row>
    <row r="71" spans="1:14" x14ac:dyDescent="0.2">
      <c r="A71">
        <f t="shared" si="13"/>
        <v>0</v>
      </c>
      <c r="B71" s="12" t="s">
        <v>330</v>
      </c>
      <c r="C71" s="12">
        <v>385</v>
      </c>
      <c r="D71" s="12">
        <v>3</v>
      </c>
      <c r="E71" s="12">
        <v>80</v>
      </c>
      <c r="F71" s="13">
        <v>60</v>
      </c>
      <c r="G71" s="29">
        <v>55.8</v>
      </c>
      <c r="H71" s="30">
        <f t="shared" si="16"/>
        <v>962</v>
      </c>
      <c r="I71" s="12"/>
      <c r="J71">
        <f>IF(((Qmax-C71)/Tmax)&lt;((Qph-C71)/Tph),0,IF(Tecs=F71,1,0)*IF(E71=$B$1,1,0)*IF(C71&gt;=$B$2,1,0)*IF(('Tool ECS'!$C$32+1.2*pw*cw*(Tecs-Tef)*(Qmax-C71)/Tmax)&lt;G71,1,0))</f>
        <v>0</v>
      </c>
      <c r="K71" s="12" t="str">
        <f t="shared" si="20"/>
        <v>1 préparateur OBPB 400</v>
      </c>
      <c r="L71" s="34">
        <v>200</v>
      </c>
      <c r="M71" s="12">
        <f t="shared" si="17"/>
        <v>20</v>
      </c>
      <c r="N71" s="12">
        <f t="shared" si="18"/>
        <v>0.96199999999999997</v>
      </c>
    </row>
    <row r="72" spans="1:14" x14ac:dyDescent="0.2">
      <c r="A72">
        <f t="shared" si="13"/>
        <v>0</v>
      </c>
      <c r="B72" s="12" t="s">
        <v>324</v>
      </c>
      <c r="C72" s="12">
        <v>495</v>
      </c>
      <c r="D72" s="12">
        <v>3</v>
      </c>
      <c r="E72" s="12">
        <v>80</v>
      </c>
      <c r="F72" s="13">
        <v>60</v>
      </c>
      <c r="G72" s="29">
        <v>54.1</v>
      </c>
      <c r="H72" s="30">
        <f t="shared" si="16"/>
        <v>933</v>
      </c>
      <c r="I72" s="12"/>
      <c r="J72">
        <f>IF(((Qmax-C72)/Tmax)&lt;((Qph-C72)/Tph),0,IF(Tecs=F72,1,0)*IF(E72=$B$1,1,0)*IF(C72&gt;=$B$2,1,0)*IF(('Tool ECS'!$C$32+1.2*pw*cw*(Tecs-Tef)*(Qmax-C72)/Tmax)&lt;G72,1,0))</f>
        <v>0</v>
      </c>
      <c r="K72" s="12" t="str">
        <f t="shared" si="20"/>
        <v>1 préparateur OBLC 500</v>
      </c>
      <c r="L72" s="34">
        <v>200</v>
      </c>
      <c r="M72" s="12">
        <f t="shared" si="17"/>
        <v>20</v>
      </c>
      <c r="N72" s="12">
        <f t="shared" si="18"/>
        <v>0.93300000000000005</v>
      </c>
    </row>
    <row r="73" spans="1:14" x14ac:dyDescent="0.2">
      <c r="A73">
        <f t="shared" si="13"/>
        <v>0</v>
      </c>
      <c r="B73" s="12" t="s">
        <v>331</v>
      </c>
      <c r="C73" s="12">
        <v>485</v>
      </c>
      <c r="D73" s="12">
        <v>3</v>
      </c>
      <c r="E73" s="12">
        <v>80</v>
      </c>
      <c r="F73" s="13">
        <v>60</v>
      </c>
      <c r="G73" s="29">
        <v>70.5</v>
      </c>
      <c r="H73" s="30">
        <f t="shared" si="16"/>
        <v>1216</v>
      </c>
      <c r="I73" s="12"/>
      <c r="J73">
        <f>IF(((Qmax-C73)/Tmax)&lt;((Qph-C73)/Tph),0,IF(Tecs=F73,1,0)*IF(E73=$B$1,1,0)*IF(C73&gt;=$B$2,1,0)*IF(('Tool ECS'!$C$32+1.2*pw*cw*(Tecs-Tef)*(Qmax-C73)/Tmax)&lt;G73,1,0))</f>
        <v>0</v>
      </c>
      <c r="K73" s="12" t="str">
        <f t="shared" si="20"/>
        <v>1 préparateur OBPB 500</v>
      </c>
      <c r="L73" s="34">
        <v>260</v>
      </c>
      <c r="M73" s="12">
        <f t="shared" si="17"/>
        <v>26</v>
      </c>
      <c r="N73" s="12">
        <f t="shared" si="18"/>
        <v>1.216</v>
      </c>
    </row>
    <row r="74" spans="1:14" x14ac:dyDescent="0.2">
      <c r="A74">
        <f t="shared" si="13"/>
        <v>0</v>
      </c>
      <c r="B74" s="12" t="str">
        <f>CONCATENATE("2 - ",B68)</f>
        <v>2 - OBLC 300</v>
      </c>
      <c r="C74" s="12">
        <f>2*C68</f>
        <v>590</v>
      </c>
      <c r="D74" s="12">
        <v>6</v>
      </c>
      <c r="E74" s="12">
        <v>80</v>
      </c>
      <c r="F74" s="13">
        <v>60</v>
      </c>
      <c r="G74" s="29">
        <f>2*G68</f>
        <v>64</v>
      </c>
      <c r="H74" s="30">
        <f t="shared" si="16"/>
        <v>1103</v>
      </c>
      <c r="I74" s="12"/>
      <c r="J74">
        <f>IF(((Qmax-C74)/Tmax)&lt;((Qph-C74)/Tph),0,IF(Tecs=F74,1,0)*IF(E74=$B$1,1,0)*IF(C74&gt;=$B$2,1,0)*IF(('Tool ECS'!$C$32+1.2*pw*cw*(Tecs-Tef)*(Qmax-C74)/Tmax)&lt;G74,1,0))</f>
        <v>0</v>
      </c>
      <c r="K74" s="12" t="str">
        <f t="shared" si="20"/>
        <v>2 préparateurs OBLC 300 raccordés en parallèle</v>
      </c>
      <c r="L74" s="34">
        <f>L68</f>
        <v>130</v>
      </c>
      <c r="M74" s="12">
        <f t="shared" si="17"/>
        <v>13</v>
      </c>
      <c r="N74" s="12">
        <f t="shared" si="18"/>
        <v>1.103</v>
      </c>
    </row>
    <row r="75" spans="1:14" x14ac:dyDescent="0.2">
      <c r="A75">
        <f t="shared" si="13"/>
        <v>0</v>
      </c>
      <c r="B75" s="12" t="str">
        <f>CONCATENATE("2 - ",B69)</f>
        <v>2 - OBPB 300</v>
      </c>
      <c r="C75" s="12">
        <f>2*C69</f>
        <v>580</v>
      </c>
      <c r="D75" s="12">
        <v>6</v>
      </c>
      <c r="E75" s="12">
        <v>80</v>
      </c>
      <c r="F75" s="13">
        <v>60</v>
      </c>
      <c r="G75" s="29">
        <f>2*G69</f>
        <v>88.6</v>
      </c>
      <c r="H75" s="30">
        <f t="shared" si="16"/>
        <v>1528</v>
      </c>
      <c r="I75" s="12"/>
      <c r="J75">
        <f>IF(((Qmax-C75)/Tmax)&lt;((Qph-C75)/Tph),0,IF(Tecs=F75,1,0)*IF(E75=$B$1,1,0)*IF(C75&gt;=$B$2,1,0)*IF(('Tool ECS'!$C$32+1.2*pw*cw*(Tecs-Tef)*(Qmax-C75)/Tmax)&lt;G75,1,0))</f>
        <v>0</v>
      </c>
      <c r="K75" s="12" t="str">
        <f t="shared" si="20"/>
        <v>2 préparateurs OBPB 300 raccordés en parallèle</v>
      </c>
      <c r="L75" s="34">
        <f>L69</f>
        <v>170</v>
      </c>
      <c r="M75" s="12">
        <f t="shared" si="17"/>
        <v>17</v>
      </c>
      <c r="N75" s="12">
        <f t="shared" si="18"/>
        <v>1.528</v>
      </c>
    </row>
    <row r="76" spans="1:14" s="85" customFormat="1" ht="13.5" customHeight="1" x14ac:dyDescent="0.2">
      <c r="A76">
        <f t="shared" si="13"/>
        <v>0</v>
      </c>
      <c r="B76" s="12" t="s">
        <v>335</v>
      </c>
      <c r="C76" s="12">
        <v>650</v>
      </c>
      <c r="D76" s="12">
        <v>5.5</v>
      </c>
      <c r="E76" s="12">
        <v>80</v>
      </c>
      <c r="F76" s="13">
        <v>60</v>
      </c>
      <c r="G76" s="29">
        <v>95</v>
      </c>
      <c r="H76" s="30">
        <f t="shared" si="16"/>
        <v>1638</v>
      </c>
      <c r="I76" s="12"/>
      <c r="J76">
        <f>IF(((Qmax-C76)/Tmax)&lt;((Qph-C76)/Tph),0,IF(Tecs=F76,1,0)*IF(E76=$B$1,1,0)*IF(C76&gt;=$B$2,1,0)*IF(('Tool ECS'!$C$32+1.2*pw*cw*(Tecs-Tef)*(Qmax-C76)/Tmax)&lt;G76,1,0))</f>
        <v>0</v>
      </c>
      <c r="K76" s="12" t="str">
        <f t="shared" si="20"/>
        <v>1 préparateur OB 650</v>
      </c>
      <c r="L76" s="175">
        <v>240</v>
      </c>
      <c r="M76" s="85">
        <f t="shared" si="17"/>
        <v>24</v>
      </c>
      <c r="N76" s="85">
        <f t="shared" si="18"/>
        <v>1.6379999999999999</v>
      </c>
    </row>
    <row r="77" spans="1:14" s="85" customFormat="1" x14ac:dyDescent="0.2">
      <c r="A77">
        <f t="shared" si="13"/>
        <v>0</v>
      </c>
      <c r="B77" s="12" t="s">
        <v>336</v>
      </c>
      <c r="C77" s="12">
        <v>780</v>
      </c>
      <c r="D77" s="12">
        <v>5.5</v>
      </c>
      <c r="E77" s="12">
        <v>80</v>
      </c>
      <c r="F77" s="13">
        <v>60</v>
      </c>
      <c r="G77" s="29">
        <v>95</v>
      </c>
      <c r="H77" s="30">
        <f>ROUND(G77*1000/1.16/50,0)</f>
        <v>1638</v>
      </c>
      <c r="I77" s="12"/>
      <c r="J77">
        <f>IF(((Qmax-C77)/Tmax)&lt;((Qph-C77)/Tph),0,IF(Tecs=F77,1,0)*IF(E77=$B$1,1,0)*IF(C77&gt;=$B$2,1,0)*IF(('Tool ECS'!$C$32+1.2*pw*cw*(Tecs-Tef)*(Qmax-C77)/Tmax)&lt;G77,1,0))</f>
        <v>0</v>
      </c>
      <c r="K77" s="12" t="str">
        <f>K42</f>
        <v>1 préparateur OB 800</v>
      </c>
      <c r="L77" s="175">
        <v>240</v>
      </c>
      <c r="M77" s="85">
        <f>L77/10</f>
        <v>24</v>
      </c>
      <c r="N77" s="85">
        <f>H77/1000</f>
        <v>1.6379999999999999</v>
      </c>
    </row>
    <row r="78" spans="1:14" x14ac:dyDescent="0.2">
      <c r="A78">
        <f t="shared" si="13"/>
        <v>0</v>
      </c>
      <c r="B78" s="12" t="str">
        <f>CONCATENATE("2 - ",B70)</f>
        <v>2 - OBLC 400</v>
      </c>
      <c r="C78" s="12">
        <f>2*C70</f>
        <v>780</v>
      </c>
      <c r="D78" s="12">
        <v>6</v>
      </c>
      <c r="E78" s="12">
        <v>80</v>
      </c>
      <c r="F78" s="13">
        <v>60</v>
      </c>
      <c r="G78" s="29">
        <f>2*G70</f>
        <v>91.8</v>
      </c>
      <c r="H78" s="30">
        <f t="shared" si="16"/>
        <v>1583</v>
      </c>
      <c r="I78" s="12"/>
      <c r="J78">
        <f>IF(((Qmax-C78)/Tmax)&lt;((Qph-C78)/Tph),0,IF(Tecs=F78,1,0)*IF(E78=$B$1,1,0)*IF(C78&gt;=$B$2,1,0)*IF(('Tool ECS'!$C$32+1.2*pw*cw*(Tecs-Tef)*(Qmax-C78)/Tmax)&lt;G78,1,0))</f>
        <v>0</v>
      </c>
      <c r="K78" s="12" t="str">
        <f>K40</f>
        <v>2 préparateurs OBLC 400 raccordés en parallèle</v>
      </c>
      <c r="L78" s="34">
        <f>L70</f>
        <v>170</v>
      </c>
      <c r="M78" s="12">
        <f t="shared" si="17"/>
        <v>17</v>
      </c>
      <c r="N78" s="12">
        <f t="shared" si="18"/>
        <v>1.583</v>
      </c>
    </row>
    <row r="79" spans="1:14" x14ac:dyDescent="0.2">
      <c r="A79">
        <f t="shared" si="13"/>
        <v>0</v>
      </c>
      <c r="B79" s="12" t="str">
        <f>CONCATENATE("2 - ",B71)</f>
        <v>2 - OBPB 400</v>
      </c>
      <c r="C79" s="12">
        <f>2*C71</f>
        <v>770</v>
      </c>
      <c r="D79" s="12">
        <v>6</v>
      </c>
      <c r="E79" s="12">
        <v>80</v>
      </c>
      <c r="F79" s="13">
        <v>60</v>
      </c>
      <c r="G79" s="29">
        <f>2*G71</f>
        <v>111.6</v>
      </c>
      <c r="H79" s="30">
        <f t="shared" si="16"/>
        <v>1924</v>
      </c>
      <c r="I79" s="12"/>
      <c r="J79">
        <f>IF(((Qmax-C79)/Tmax)&lt;((Qph-C79)/Tph),0,IF(Tecs=F79,1,0)*IF(E79=$B$1,1,0)*IF(C79&gt;=$B$2,1,0)*IF(('Tool ECS'!$C$32+1.2*pw*cw*(Tecs-Tef)*(Qmax-C79)/Tmax)&lt;G79,1,0))</f>
        <v>0</v>
      </c>
      <c r="K79" s="12" t="str">
        <f>K41</f>
        <v>2 préparateurs OBPB 400 raccordés en parallèle</v>
      </c>
      <c r="L79" s="34">
        <f>L71</f>
        <v>200</v>
      </c>
      <c r="M79" s="12">
        <f t="shared" si="17"/>
        <v>20</v>
      </c>
      <c r="N79" s="12">
        <f t="shared" si="18"/>
        <v>1.9239999999999999</v>
      </c>
    </row>
    <row r="80" spans="1:14" x14ac:dyDescent="0.2">
      <c r="A80">
        <f t="shared" si="13"/>
        <v>0</v>
      </c>
      <c r="B80" s="12" t="str">
        <f>CONCATENATE("2 - ",B72)</f>
        <v>2 - OBLC 500</v>
      </c>
      <c r="C80" s="12">
        <f>2*C72</f>
        <v>990</v>
      </c>
      <c r="D80" s="12">
        <v>9</v>
      </c>
      <c r="E80" s="12">
        <v>80</v>
      </c>
      <c r="F80" s="13">
        <v>60</v>
      </c>
      <c r="G80" s="29">
        <f>3*G68</f>
        <v>96</v>
      </c>
      <c r="H80" s="30">
        <f t="shared" si="16"/>
        <v>1655</v>
      </c>
      <c r="I80" s="12"/>
      <c r="J80">
        <f>IF(((Qmax-C80)/Tmax)&lt;((Qph-C80)/Tph),0,IF(Tecs=F80,1,0)*IF(E80=$B$1,1,0)*IF(C80&gt;=$B$2,1,0)*IF(('Tool ECS'!$C$32+1.2*pw*cw*(Tecs-Tef)*(Qmax-C80)/Tmax)&lt;G80,1,0))</f>
        <v>0</v>
      </c>
      <c r="K80" s="12" t="str">
        <f t="shared" ref="K80:K92" si="21">K43</f>
        <v>3 préparateurs OBLC 300 raccordés en parallèle</v>
      </c>
      <c r="L80" s="34">
        <f>L68</f>
        <v>130</v>
      </c>
      <c r="M80" s="12">
        <f t="shared" si="17"/>
        <v>13</v>
      </c>
      <c r="N80" s="12">
        <f t="shared" si="18"/>
        <v>1.655</v>
      </c>
    </row>
    <row r="81" spans="1:14" x14ac:dyDescent="0.2">
      <c r="A81">
        <f t="shared" si="13"/>
        <v>0</v>
      </c>
      <c r="B81" s="12" t="s">
        <v>332</v>
      </c>
      <c r="C81" s="12">
        <f>3*C69</f>
        <v>870</v>
      </c>
      <c r="D81" s="12">
        <v>9</v>
      </c>
      <c r="E81" s="12">
        <v>80</v>
      </c>
      <c r="F81" s="13">
        <v>60</v>
      </c>
      <c r="G81" s="29">
        <f>3*G69</f>
        <v>132.89999999999998</v>
      </c>
      <c r="H81" s="30">
        <f t="shared" si="16"/>
        <v>2291</v>
      </c>
      <c r="I81" s="12"/>
      <c r="J81">
        <f>IF(((Qmax-C81)/Tmax)&lt;((Qph-C81)/Tph),0,IF(Tecs=F81,1,0)*IF(E81=$B$1,1,0)*IF(C81&gt;=$B$2,1,0)*IF(('Tool ECS'!$C$32+1.2*pw*cw*(Tecs-Tef)*(Qmax-C81)/Tmax)&lt;G81,1,0))</f>
        <v>0</v>
      </c>
      <c r="K81" s="12" t="str">
        <f t="shared" si="21"/>
        <v>3 préparateurs OBPB 300 raccordés en parallèle</v>
      </c>
      <c r="L81" s="34">
        <f>L69</f>
        <v>170</v>
      </c>
      <c r="M81" s="12">
        <f t="shared" si="17"/>
        <v>17</v>
      </c>
      <c r="N81" s="12">
        <f t="shared" si="18"/>
        <v>2.2909999999999999</v>
      </c>
    </row>
    <row r="82" spans="1:14" s="85" customFormat="1" x14ac:dyDescent="0.2">
      <c r="A82">
        <f t="shared" si="13"/>
        <v>0</v>
      </c>
      <c r="B82" s="12" t="s">
        <v>337</v>
      </c>
      <c r="C82" s="12">
        <v>980</v>
      </c>
      <c r="D82" s="12">
        <v>6</v>
      </c>
      <c r="E82" s="12">
        <v>80</v>
      </c>
      <c r="F82" s="13">
        <v>60</v>
      </c>
      <c r="G82" s="29">
        <v>104.5</v>
      </c>
      <c r="H82" s="30">
        <f t="shared" si="16"/>
        <v>1802</v>
      </c>
      <c r="I82" s="12"/>
      <c r="J82">
        <f>IF(((Qmax-C82)/Tmax)&lt;((Qph-C82)/Tph),0,IF(Tecs=F82,1,0)*IF(E82=$B$1,1,0)*IF(C82&gt;=$B$2,1,0)*IF(('Tool ECS'!$C$32+1.2*pw*cw*(Tecs-Tef)*(Qmax-C82)/Tmax)&lt;G82,1,0))</f>
        <v>0</v>
      </c>
      <c r="K82" s="12" t="str">
        <f t="shared" si="21"/>
        <v>1 préparateur OB 1000</v>
      </c>
      <c r="L82" s="175">
        <v>360</v>
      </c>
      <c r="M82" s="85">
        <f t="shared" si="17"/>
        <v>36</v>
      </c>
      <c r="N82" s="85">
        <f t="shared" si="18"/>
        <v>1.802</v>
      </c>
    </row>
    <row r="83" spans="1:14" x14ac:dyDescent="0.2">
      <c r="A83">
        <f t="shared" si="13"/>
        <v>0</v>
      </c>
      <c r="B83" s="12" t="str">
        <f>CONCATENATE("2 - ",B72)</f>
        <v>2 - OBLC 500</v>
      </c>
      <c r="C83" s="12">
        <f>2*C72</f>
        <v>990</v>
      </c>
      <c r="D83" s="12">
        <v>6</v>
      </c>
      <c r="E83" s="12">
        <v>80</v>
      </c>
      <c r="F83" s="13">
        <v>60</v>
      </c>
      <c r="G83" s="29">
        <f>2*G72</f>
        <v>108.2</v>
      </c>
      <c r="H83" s="30">
        <f t="shared" si="16"/>
        <v>1866</v>
      </c>
      <c r="I83" s="12"/>
      <c r="J83">
        <f>IF(((Qmax-C83)/Tmax)&lt;((Qph-C83)/Tph),0,IF(Tecs=F83,1,0)*IF(E83=$B$1,1,0)*IF(C83&gt;=$B$2,1,0)*IF(('Tool ECS'!$C$32+1.2*pw*cw*(Tecs-Tef)*(Qmax-C83)/Tmax)&lt;G83,1,0))</f>
        <v>0</v>
      </c>
      <c r="K83" s="12" t="str">
        <f t="shared" si="21"/>
        <v>2 préparateurs OBLC 500 raccordés en parallèle</v>
      </c>
      <c r="L83" s="34">
        <f>L72</f>
        <v>200</v>
      </c>
      <c r="M83" s="12">
        <f t="shared" si="17"/>
        <v>20</v>
      </c>
      <c r="N83" s="12">
        <f t="shared" si="18"/>
        <v>1.8660000000000001</v>
      </c>
    </row>
    <row r="84" spans="1:14" x14ac:dyDescent="0.2">
      <c r="A84">
        <f t="shared" si="13"/>
        <v>0</v>
      </c>
      <c r="B84" s="12" t="str">
        <f>CONCATENATE("2 - ",B73)</f>
        <v>2 - OBPB 500</v>
      </c>
      <c r="C84" s="12">
        <f>2*C73</f>
        <v>970</v>
      </c>
      <c r="D84" s="12">
        <v>6</v>
      </c>
      <c r="E84" s="12">
        <v>80</v>
      </c>
      <c r="F84" s="13">
        <v>60</v>
      </c>
      <c r="G84" s="29">
        <f>2*G73</f>
        <v>141</v>
      </c>
      <c r="H84" s="30">
        <f t="shared" si="16"/>
        <v>2431</v>
      </c>
      <c r="I84" s="12"/>
      <c r="J84">
        <f>IF(((Qmax-C84)/Tmax)&lt;((Qph-C84)/Tph),0,IF(Tecs=F84,1,0)*IF(E84=$B$1,1,0)*IF(C84&gt;=$B$2,1,0)*IF(('Tool ECS'!$C$32+1.2*pw*cw*(Tecs-Tef)*(Qmax-C84)/Tmax)&lt;G84,1,0))</f>
        <v>0</v>
      </c>
      <c r="K84" s="12" t="str">
        <f t="shared" si="21"/>
        <v>2 préparateurs OBPB 500 raccordés en parallèle</v>
      </c>
      <c r="L84" s="34">
        <f>L73</f>
        <v>260</v>
      </c>
      <c r="M84" s="12">
        <f t="shared" si="17"/>
        <v>26</v>
      </c>
      <c r="N84" s="12">
        <f t="shared" si="18"/>
        <v>2.431</v>
      </c>
    </row>
    <row r="85" spans="1:14" x14ac:dyDescent="0.2">
      <c r="A85">
        <f t="shared" si="13"/>
        <v>0</v>
      </c>
      <c r="B85" s="12" t="s">
        <v>325</v>
      </c>
      <c r="C85" s="12">
        <f>3*C70</f>
        <v>1170</v>
      </c>
      <c r="D85" s="12">
        <v>9</v>
      </c>
      <c r="E85" s="12">
        <v>80</v>
      </c>
      <c r="F85" s="13">
        <v>60</v>
      </c>
      <c r="G85" s="29">
        <f>3*G70</f>
        <v>137.69999999999999</v>
      </c>
      <c r="H85" s="30">
        <f t="shared" si="16"/>
        <v>2374</v>
      </c>
      <c r="I85" s="12"/>
      <c r="J85">
        <f>IF(((Qmax-C85)/Tmax)&lt;((Qph-C85)/Tph),0,IF(Tecs=F85,1,0)*IF(E85=$B$1,1,0)*IF(C85&gt;=$B$2,1,0)*IF(('Tool ECS'!$C$32+1.2*pw*cw*(Tecs-Tef)*(Qmax-C85)/Tmax)&lt;G85,1,0))</f>
        <v>0</v>
      </c>
      <c r="K85" s="12" t="str">
        <f t="shared" si="21"/>
        <v>3 préparateurs OBLC 400 raccordés en parallèle</v>
      </c>
      <c r="L85" s="34">
        <f>L70</f>
        <v>170</v>
      </c>
      <c r="M85" s="12">
        <f t="shared" si="17"/>
        <v>17</v>
      </c>
      <c r="N85" s="12">
        <f t="shared" si="18"/>
        <v>2.3740000000000001</v>
      </c>
    </row>
    <row r="86" spans="1:14" x14ac:dyDescent="0.2">
      <c r="A86">
        <f t="shared" si="13"/>
        <v>0</v>
      </c>
      <c r="B86" s="12" t="s">
        <v>333</v>
      </c>
      <c r="C86" s="12">
        <f>3*C71</f>
        <v>1155</v>
      </c>
      <c r="D86" s="12">
        <v>9</v>
      </c>
      <c r="E86" s="12">
        <v>80</v>
      </c>
      <c r="F86" s="13">
        <v>60</v>
      </c>
      <c r="G86" s="29">
        <f>3*G71</f>
        <v>167.39999999999998</v>
      </c>
      <c r="H86" s="30">
        <f t="shared" si="16"/>
        <v>2886</v>
      </c>
      <c r="I86" s="12"/>
      <c r="J86">
        <f>IF(((Qmax-C86)/Tmax)&lt;((Qph-C86)/Tph),0,IF(Tecs=F86,1,0)*IF(E86=$B$1,1,0)*IF(C86&gt;=$B$2,1,0)*IF(('Tool ECS'!$C$32+1.2*pw*cw*(Tecs-Tef)*(Qmax-C86)/Tmax)&lt;G86,1,0))</f>
        <v>0</v>
      </c>
      <c r="K86" s="12" t="str">
        <f t="shared" si="21"/>
        <v>3 préparateurs OBPB 400 raccordés en parallèle</v>
      </c>
      <c r="L86" s="34">
        <f>L71</f>
        <v>200</v>
      </c>
      <c r="M86" s="12">
        <f t="shared" si="17"/>
        <v>20</v>
      </c>
      <c r="N86" s="12">
        <f t="shared" si="18"/>
        <v>2.8860000000000001</v>
      </c>
    </row>
    <row r="87" spans="1:14" s="85" customFormat="1" x14ac:dyDescent="0.2">
      <c r="A87" s="85">
        <f t="shared" si="13"/>
        <v>0</v>
      </c>
      <c r="B87" s="12" t="s">
        <v>338</v>
      </c>
      <c r="C87" s="12">
        <f>2*C76</f>
        <v>1300</v>
      </c>
      <c r="D87" s="12">
        <f>2*D76</f>
        <v>11</v>
      </c>
      <c r="E87" s="12">
        <v>80</v>
      </c>
      <c r="F87" s="13">
        <v>60</v>
      </c>
      <c r="G87" s="29">
        <f>2*G76</f>
        <v>190</v>
      </c>
      <c r="H87" s="30">
        <f t="shared" si="16"/>
        <v>3276</v>
      </c>
      <c r="I87" s="12"/>
      <c r="J87">
        <f>IF(((Qmax-C87)/Tmax)&lt;((Qph-C87)/Tph),0,IF(Tecs=F87,1,0)*IF(E87=$B$1,1,0)*IF(C87&gt;=$B$2,1,0)*IF(('Tool ECS'!$C$32+1.2*pw*cw*(Tecs-Tef)*(Qmax-C87)/Tmax)&lt;G87,1,0))</f>
        <v>0</v>
      </c>
      <c r="K87" s="12" t="str">
        <f t="shared" si="21"/>
        <v>2 préparateurs OB 650</v>
      </c>
      <c r="L87" s="175">
        <f>+L76</f>
        <v>240</v>
      </c>
      <c r="M87" s="85">
        <f t="shared" si="17"/>
        <v>24</v>
      </c>
      <c r="N87" s="85">
        <f>H87/1000</f>
        <v>3.2759999999999998</v>
      </c>
    </row>
    <row r="88" spans="1:14" s="85" customFormat="1" x14ac:dyDescent="0.2">
      <c r="A88" s="85">
        <f t="shared" si="13"/>
        <v>0</v>
      </c>
      <c r="B88" s="12" t="s">
        <v>339</v>
      </c>
      <c r="C88" s="12">
        <v>1500</v>
      </c>
      <c r="D88" s="12">
        <v>7.5</v>
      </c>
      <c r="E88" s="12">
        <v>80</v>
      </c>
      <c r="F88" s="13">
        <v>60</v>
      </c>
      <c r="G88" s="29">
        <v>130.6</v>
      </c>
      <c r="H88" s="30">
        <f t="shared" si="16"/>
        <v>2252</v>
      </c>
      <c r="I88" s="12"/>
      <c r="J88">
        <f>IF(((Qmax-C88)/Tmax)&lt;((Qph-C88)/Tph),0,IF(Tecs=F88,1,0)*IF(E88=$B$1,1,0)*IF(C88&gt;=$B$2,1,0)*IF(('Tool ECS'!$C$32+1.2*pw*cw*(Tecs-Tef)*(Qmax-C88)/Tmax)&lt;G88,1,0))</f>
        <v>0</v>
      </c>
      <c r="K88" s="12" t="str">
        <f t="shared" si="21"/>
        <v>1 préparateur OB 1500</v>
      </c>
      <c r="L88" s="175">
        <v>610</v>
      </c>
      <c r="M88" s="85">
        <f t="shared" si="17"/>
        <v>61</v>
      </c>
      <c r="N88" s="85">
        <f t="shared" ref="N88:N100" si="22">H88/1000</f>
        <v>2.2519999999999998</v>
      </c>
    </row>
    <row r="89" spans="1:14" x14ac:dyDescent="0.2">
      <c r="A89">
        <f t="shared" si="13"/>
        <v>0</v>
      </c>
      <c r="B89" s="12" t="s">
        <v>326</v>
      </c>
      <c r="C89" s="12">
        <f>3*C72</f>
        <v>1485</v>
      </c>
      <c r="D89" s="12">
        <v>9</v>
      </c>
      <c r="E89" s="12">
        <v>80</v>
      </c>
      <c r="F89" s="13">
        <v>60</v>
      </c>
      <c r="G89" s="29">
        <f>3*G72</f>
        <v>162.30000000000001</v>
      </c>
      <c r="H89" s="30">
        <f t="shared" si="16"/>
        <v>2798</v>
      </c>
      <c r="I89" s="12"/>
      <c r="J89">
        <f>IF(((Qmax-C89)/Tmax)&lt;((Qph-C89)/Tph),0,IF(Tecs=F89,1,0)*IF(E89=$B$1,1,0)*IF(C89&gt;=$B$2,1,0)*IF(('Tool ECS'!$C$32+1.2*pw*cw*(Tecs-Tef)*(Qmax-C89)/Tmax)&lt;G89,1,0))</f>
        <v>0</v>
      </c>
      <c r="K89" s="12" t="str">
        <f t="shared" si="21"/>
        <v>3 préparateurs OBLC 500 raccordés en parallèle</v>
      </c>
      <c r="L89" s="34">
        <f>L72</f>
        <v>200</v>
      </c>
      <c r="M89" s="12">
        <f t="shared" si="17"/>
        <v>20</v>
      </c>
      <c r="N89" s="12">
        <f t="shared" si="22"/>
        <v>2.798</v>
      </c>
    </row>
    <row r="90" spans="1:14" x14ac:dyDescent="0.2">
      <c r="A90">
        <f t="shared" si="13"/>
        <v>0</v>
      </c>
      <c r="B90" s="12" t="s">
        <v>334</v>
      </c>
      <c r="C90" s="12">
        <f>3*C73</f>
        <v>1455</v>
      </c>
      <c r="D90" s="12">
        <v>9</v>
      </c>
      <c r="E90" s="12">
        <v>80</v>
      </c>
      <c r="F90" s="13">
        <v>60</v>
      </c>
      <c r="G90" s="29">
        <f>3*G73</f>
        <v>211.5</v>
      </c>
      <c r="H90" s="30">
        <f t="shared" si="16"/>
        <v>3647</v>
      </c>
      <c r="I90" s="12"/>
      <c r="J90">
        <f>IF(((Qmax-C90)/Tmax)&lt;((Qph-C90)/Tph),0,IF(Tecs=F90,1,0)*IF(E90=$B$1,1,0)*IF(C90&gt;=$B$2,1,0)*IF(('Tool ECS'!$C$32+1.2*pw*cw*(Tecs-Tef)*(Qmax-C90)/Tmax)&lt;G90,1,0))</f>
        <v>0</v>
      </c>
      <c r="K90" s="12" t="str">
        <f t="shared" si="21"/>
        <v>3 préparateurs OBPB 500 raccordés en parallèle</v>
      </c>
      <c r="L90" s="34">
        <f>L73</f>
        <v>260</v>
      </c>
      <c r="M90" s="12">
        <f t="shared" si="17"/>
        <v>26</v>
      </c>
      <c r="N90" s="12">
        <f t="shared" si="22"/>
        <v>3.6469999999999998</v>
      </c>
    </row>
    <row r="91" spans="1:14" s="85" customFormat="1" x14ac:dyDescent="0.2">
      <c r="A91" s="85">
        <f t="shared" si="13"/>
        <v>0</v>
      </c>
      <c r="B91" s="12" t="s">
        <v>340</v>
      </c>
      <c r="C91" s="12">
        <f>780*2</f>
        <v>1560</v>
      </c>
      <c r="D91" s="12">
        <f>2*D77</f>
        <v>11</v>
      </c>
      <c r="E91" s="12">
        <v>80</v>
      </c>
      <c r="F91" s="13">
        <v>60</v>
      </c>
      <c r="G91" s="29">
        <f>2*G77</f>
        <v>190</v>
      </c>
      <c r="H91" s="30">
        <f t="shared" si="16"/>
        <v>3276</v>
      </c>
      <c r="I91" s="12"/>
      <c r="J91">
        <f>IF(((Qmax-C91)/Tmax)&lt;((Qph-C91)/Tph),0,IF(Tecs=F91,1,0)*IF(E91=$B$1,1,0)*IF(C91&gt;=$B$2,1,0)*IF(('Tool ECS'!$C$32+1.2*pw*cw*(Tecs-Tef)*(Qmax-C91)/Tmax)&lt;G91,1,0))</f>
        <v>0</v>
      </c>
      <c r="K91" s="12" t="str">
        <f t="shared" si="21"/>
        <v>2 préparateurs OB 800 raccordés en parallèle</v>
      </c>
      <c r="L91" s="175">
        <f>2*L77</f>
        <v>480</v>
      </c>
      <c r="M91" s="85">
        <f t="shared" si="17"/>
        <v>48</v>
      </c>
      <c r="N91" s="85">
        <f t="shared" si="22"/>
        <v>3.2759999999999998</v>
      </c>
    </row>
    <row r="92" spans="1:14" s="85" customFormat="1" x14ac:dyDescent="0.2">
      <c r="A92" s="85">
        <f t="shared" ref="A92:A138" si="23">J92+A91</f>
        <v>0</v>
      </c>
      <c r="B92" s="12" t="s">
        <v>341</v>
      </c>
      <c r="C92" s="12">
        <f>3*C76</f>
        <v>1950</v>
      </c>
      <c r="D92" s="12">
        <f>3*D76</f>
        <v>16.5</v>
      </c>
      <c r="E92" s="12">
        <v>80</v>
      </c>
      <c r="F92" s="13">
        <v>60</v>
      </c>
      <c r="G92" s="29">
        <f>3*G76</f>
        <v>285</v>
      </c>
      <c r="H92" s="30">
        <f t="shared" si="16"/>
        <v>4914</v>
      </c>
      <c r="I92" s="12"/>
      <c r="J92">
        <f>IF(((Qmax-C92)/Tmax)&lt;((Qph-C92)/Tph),0,IF(Tecs=F92,1,0)*IF(E92=$B$1,1,0)*IF(C92&gt;=$B$2,1,0)*IF(('Tool ECS'!$C$32+1.2*pw*cw*(Tecs-Tef)*(Qmax-C92)/Tmax)&lt;G92,1,0))</f>
        <v>0</v>
      </c>
      <c r="K92" s="12" t="str">
        <f t="shared" si="21"/>
        <v>3 préparateurs OB 650</v>
      </c>
      <c r="L92" s="175">
        <v>240</v>
      </c>
      <c r="M92" s="85">
        <f t="shared" si="17"/>
        <v>24</v>
      </c>
      <c r="N92" s="85">
        <f t="shared" si="22"/>
        <v>4.9139999999999997</v>
      </c>
    </row>
    <row r="93" spans="1:14" s="85" customFormat="1" x14ac:dyDescent="0.2">
      <c r="A93" s="85">
        <f t="shared" si="23"/>
        <v>0</v>
      </c>
      <c r="B93" s="12" t="s">
        <v>343</v>
      </c>
      <c r="C93" s="12">
        <f>2*980</f>
        <v>1960</v>
      </c>
      <c r="D93" s="12">
        <f>2*D82</f>
        <v>12</v>
      </c>
      <c r="E93" s="12">
        <v>80</v>
      </c>
      <c r="F93" s="13">
        <v>60</v>
      </c>
      <c r="G93" s="29">
        <f>2*G82</f>
        <v>209</v>
      </c>
      <c r="H93" s="30">
        <f>ROUND(G93*1000/1.16/50,0)</f>
        <v>3603</v>
      </c>
      <c r="I93" s="12"/>
      <c r="J93">
        <f>IF(((Qmax-C93)/Tmax)&lt;((Qph-C93)/Tph),0,IF(Tecs=F93,1,0)*IF(E93=$B$1,1,0)*IF(C93&gt;=$B$2,1,0)*IF(('Tool ECS'!$C$32+1.2*pw*cw*(Tecs-Tef)*(Qmax-C93)/Tmax)&lt;G93,1,0))</f>
        <v>0</v>
      </c>
      <c r="K93" s="12" t="str">
        <f>K57</f>
        <v>2 préparateurs OB 1000 raccordés en parallèle</v>
      </c>
      <c r="L93" s="175">
        <f>+L82</f>
        <v>360</v>
      </c>
      <c r="M93" s="85">
        <f>L93/10</f>
        <v>36</v>
      </c>
      <c r="N93" s="85">
        <f>H93/1000</f>
        <v>3.6030000000000002</v>
      </c>
    </row>
    <row r="94" spans="1:14" s="85" customFormat="1" x14ac:dyDescent="0.2">
      <c r="A94" s="85">
        <f t="shared" si="23"/>
        <v>0</v>
      </c>
      <c r="B94" s="12" t="s">
        <v>342</v>
      </c>
      <c r="C94" s="12">
        <v>2000</v>
      </c>
      <c r="D94" s="12">
        <v>7.5</v>
      </c>
      <c r="E94" s="12">
        <v>80</v>
      </c>
      <c r="F94" s="13">
        <v>60</v>
      </c>
      <c r="G94" s="29">
        <v>130.6</v>
      </c>
      <c r="H94" s="30">
        <f t="shared" si="16"/>
        <v>2252</v>
      </c>
      <c r="I94" s="12"/>
      <c r="J94">
        <f>IF(((Qmax-C94)/Tmax)&lt;((Qph-C94)/Tph),0,IF(Tecs=F94,1,0)*IF(E94=$B$1,1,0)*IF(C94&gt;=$B$2,1,0)*IF(('Tool ECS'!$C$32+1.2*pw*cw*(Tecs-Tef)*(Qmax-C94)/Tmax)&lt;G94,1,0))</f>
        <v>0</v>
      </c>
      <c r="K94" s="12" t="str">
        <f>K56</f>
        <v>1 préparateur OB 2000</v>
      </c>
      <c r="L94" s="175">
        <v>610</v>
      </c>
      <c r="M94" s="85">
        <f t="shared" si="17"/>
        <v>61</v>
      </c>
      <c r="N94" s="85">
        <f t="shared" si="22"/>
        <v>2.2519999999999998</v>
      </c>
    </row>
    <row r="95" spans="1:14" s="85" customFormat="1" x14ac:dyDescent="0.2">
      <c r="A95" s="85">
        <f t="shared" si="23"/>
        <v>0</v>
      </c>
      <c r="B95" s="12" t="s">
        <v>344</v>
      </c>
      <c r="C95" s="12">
        <v>2500</v>
      </c>
      <c r="D95" s="12">
        <v>7.5</v>
      </c>
      <c r="E95" s="12">
        <v>80</v>
      </c>
      <c r="F95" s="13">
        <v>60</v>
      </c>
      <c r="G95" s="29">
        <v>130.6</v>
      </c>
      <c r="H95" s="30">
        <f t="shared" si="16"/>
        <v>2252</v>
      </c>
      <c r="I95" s="12"/>
      <c r="J95">
        <f>IF(((Qmax-C95)/Tmax)&lt;((Qph-C95)/Tph),0,IF(Tecs=F95,1,0)*IF(E95=$B$1,1,0)*IF(C95&gt;=$B$2,1,0)*IF(('Tool ECS'!$C$32+1.2*pw*cw*(Tecs-Tef)*(Qmax-C95)/Tmax)&lt;G95,1,0))</f>
        <v>0</v>
      </c>
      <c r="K95" s="12" t="str">
        <f t="shared" ref="K95:K134" si="24">K58</f>
        <v>1 préparateur OB 2500</v>
      </c>
      <c r="L95" s="175">
        <v>610</v>
      </c>
      <c r="M95" s="85">
        <f t="shared" si="17"/>
        <v>61</v>
      </c>
      <c r="N95" s="85">
        <f t="shared" si="22"/>
        <v>2.2519999999999998</v>
      </c>
    </row>
    <row r="96" spans="1:14" s="85" customFormat="1" x14ac:dyDescent="0.2">
      <c r="A96" s="85">
        <f t="shared" si="23"/>
        <v>0</v>
      </c>
      <c r="B96" s="12" t="s">
        <v>345</v>
      </c>
      <c r="C96" s="12">
        <v>3000</v>
      </c>
      <c r="D96" s="12">
        <f>2*D88</f>
        <v>15</v>
      </c>
      <c r="E96" s="12">
        <v>80</v>
      </c>
      <c r="F96" s="13">
        <v>60</v>
      </c>
      <c r="G96" s="29">
        <f>2*G88</f>
        <v>261.2</v>
      </c>
      <c r="H96" s="30">
        <f t="shared" si="16"/>
        <v>4503</v>
      </c>
      <c r="I96" s="12"/>
      <c r="J96">
        <f>IF(((Qmax-C96)/Tmax)&lt;((Qph-C96)/Tph),0,IF(Tecs=F96,1,0)*IF(E96=$B$1,1,0)*IF(C96&gt;=$B$2,1,0)*IF(('Tool ECS'!$C$32+1.2*pw*cw*(Tecs-Tef)*(Qmax-C96)/Tmax)&lt;G96,1,0))</f>
        <v>0</v>
      </c>
      <c r="K96" s="12" t="str">
        <f t="shared" si="24"/>
        <v>2 préparateurs OB 1500 raccordés en parallèle</v>
      </c>
      <c r="L96" s="175">
        <v>610</v>
      </c>
      <c r="M96" s="85">
        <f t="shared" si="17"/>
        <v>61</v>
      </c>
      <c r="N96" s="85">
        <f t="shared" si="22"/>
        <v>4.5030000000000001</v>
      </c>
    </row>
    <row r="97" spans="1:14" s="85" customFormat="1" x14ac:dyDescent="0.2">
      <c r="A97" s="85">
        <f t="shared" si="23"/>
        <v>0</v>
      </c>
      <c r="B97" s="12" t="s">
        <v>346</v>
      </c>
      <c r="C97" s="12">
        <v>3000</v>
      </c>
      <c r="D97" s="12">
        <v>7.5</v>
      </c>
      <c r="E97" s="12">
        <v>80</v>
      </c>
      <c r="F97" s="13">
        <v>60</v>
      </c>
      <c r="G97" s="29">
        <v>130.6</v>
      </c>
      <c r="H97" s="30">
        <f t="shared" si="16"/>
        <v>2252</v>
      </c>
      <c r="I97" s="12"/>
      <c r="J97">
        <f>IF(((Qmax-C97)/Tmax)&lt;((Qph-C97)/Tph),0,IF(Tecs=F97,1,0)*IF(E97=$B$1,1,0)*IF(C97&gt;=$B$2,1,0)*IF(('Tool ECS'!$C$32+1.2*pw*cw*(Tecs-Tef)*(Qmax-C97)/Tmax)&lt;G97,1,0))</f>
        <v>0</v>
      </c>
      <c r="K97" s="12" t="str">
        <f t="shared" si="24"/>
        <v>1 préparateur OB 3000</v>
      </c>
      <c r="L97" s="175">
        <v>610</v>
      </c>
      <c r="M97" s="85">
        <f t="shared" si="17"/>
        <v>61</v>
      </c>
      <c r="N97" s="85">
        <f t="shared" si="22"/>
        <v>2.2519999999999998</v>
      </c>
    </row>
    <row r="98" spans="1:14" s="85" customFormat="1" x14ac:dyDescent="0.2">
      <c r="A98" s="85">
        <f t="shared" si="23"/>
        <v>0</v>
      </c>
      <c r="B98" s="12" t="s">
        <v>347</v>
      </c>
      <c r="C98" s="12">
        <v>4000</v>
      </c>
      <c r="D98" s="12">
        <f>2*D94</f>
        <v>15</v>
      </c>
      <c r="E98" s="12">
        <v>80</v>
      </c>
      <c r="F98" s="13">
        <v>60</v>
      </c>
      <c r="G98" s="29">
        <f>2*G94</f>
        <v>261.2</v>
      </c>
      <c r="H98" s="30">
        <f t="shared" si="16"/>
        <v>4503</v>
      </c>
      <c r="I98" s="12"/>
      <c r="J98">
        <f>IF(((Qmax-C98)/Tmax)&lt;((Qph-C98)/Tph),0,IF(Tecs=F98,1,0)*IF(E98=$B$1,1,0)*IF(C98&gt;=$B$2,1,0)*IF(('Tool ECS'!$C$32+1.2*pw*cw*(Tecs-Tef)*(Qmax-C98)/Tmax)&lt;G98,1,0))</f>
        <v>0</v>
      </c>
      <c r="K98" s="12" t="str">
        <f t="shared" si="24"/>
        <v>2 préparateurs OB 2000 raccordés en parallèle</v>
      </c>
      <c r="L98" s="175">
        <f>+L94</f>
        <v>610</v>
      </c>
      <c r="M98" s="85">
        <f>L98/10</f>
        <v>61</v>
      </c>
      <c r="N98" s="85">
        <f>H98/1000</f>
        <v>4.5030000000000001</v>
      </c>
    </row>
    <row r="99" spans="1:14" s="85" customFormat="1" x14ac:dyDescent="0.2">
      <c r="A99" s="85">
        <f t="shared" si="23"/>
        <v>0</v>
      </c>
      <c r="B99" s="12" t="s">
        <v>348</v>
      </c>
      <c r="C99" s="12">
        <v>5000</v>
      </c>
      <c r="D99" s="12">
        <f>2*D95</f>
        <v>15</v>
      </c>
      <c r="E99" s="12">
        <v>80</v>
      </c>
      <c r="F99" s="13">
        <v>60</v>
      </c>
      <c r="G99" s="29">
        <f>2*G95</f>
        <v>261.2</v>
      </c>
      <c r="H99" s="30">
        <f t="shared" si="16"/>
        <v>4503</v>
      </c>
      <c r="I99" s="12"/>
      <c r="J99">
        <f>IF(((Qmax-C99)/Tmax)&lt;((Qph-C99)/Tph),0,IF(Tecs=F99,1,0)*IF(E99=$B$1,1,0)*IF(C99&gt;=$B$2,1,0)*IF(('Tool ECS'!$C$32+1.2*pw*cw*(Tecs-Tef)*(Qmax-C99)/Tmax)&lt;G99,1,0))</f>
        <v>0</v>
      </c>
      <c r="K99" s="12" t="str">
        <f t="shared" si="24"/>
        <v>2 préparateurs OB 2500 raccordés en parallèle</v>
      </c>
      <c r="L99" s="175">
        <v>610</v>
      </c>
      <c r="M99" s="85">
        <f t="shared" si="17"/>
        <v>61</v>
      </c>
      <c r="N99" s="85">
        <f t="shared" si="22"/>
        <v>4.5030000000000001</v>
      </c>
    </row>
    <row r="100" spans="1:14" s="85" customFormat="1" ht="13.5" thickBot="1" x14ac:dyDescent="0.25">
      <c r="A100" s="85">
        <f t="shared" si="23"/>
        <v>0</v>
      </c>
      <c r="B100" s="12" t="s">
        <v>349</v>
      </c>
      <c r="C100" s="12">
        <v>6000</v>
      </c>
      <c r="D100" s="12">
        <f>2*D97</f>
        <v>15</v>
      </c>
      <c r="E100" s="12">
        <v>80</v>
      </c>
      <c r="F100" s="13">
        <v>60</v>
      </c>
      <c r="G100" s="29">
        <f>2*G97</f>
        <v>261.2</v>
      </c>
      <c r="H100" s="30">
        <f t="shared" si="16"/>
        <v>4503</v>
      </c>
      <c r="I100" s="12"/>
      <c r="J100">
        <f>IF(((Qmax-C100)/Tmax)&lt;((Qph-C100)/Tph),0,IF(Tecs=F100,1,0)*IF(E100=$B$1,1,0)*IF(C100&gt;=$B$2,1,0)*IF(('Tool ECS'!$C$32+1.2*pw*cw*(Tecs-Tef)*(Qmax-C100)/Tmax)&lt;G100,1,0))</f>
        <v>0</v>
      </c>
      <c r="K100" s="12" t="str">
        <f t="shared" si="24"/>
        <v>2 préparateurs OB 3000 raccordés en parallèle</v>
      </c>
      <c r="L100" s="175">
        <v>610</v>
      </c>
      <c r="M100" s="85">
        <f t="shared" si="17"/>
        <v>61</v>
      </c>
      <c r="N100" s="85">
        <f t="shared" si="22"/>
        <v>4.5030000000000001</v>
      </c>
    </row>
    <row r="101" spans="1:14" x14ac:dyDescent="0.2">
      <c r="A101">
        <f t="shared" si="23"/>
        <v>0</v>
      </c>
      <c r="B101" s="9" t="s">
        <v>320</v>
      </c>
      <c r="C101" s="9">
        <v>145</v>
      </c>
      <c r="D101" s="9">
        <v>3</v>
      </c>
      <c r="E101" s="9">
        <v>90</v>
      </c>
      <c r="F101" s="4">
        <v>60</v>
      </c>
      <c r="G101" s="39">
        <v>28.1</v>
      </c>
      <c r="H101" s="28">
        <f>ROUND(G101*1000/1.16/50,0)</f>
        <v>484</v>
      </c>
      <c r="I101" s="9"/>
      <c r="J101">
        <f>IF(((Qmax-C101)/Tmax)&lt;((Qph-C101)/Tph),0,IF(Tecs=F101,1,0)*IF(E101=$B$1,1,0)*IF(C101&gt;=$B$2,1,0)*IF(('Tool ECS'!$C$32+1.2*pw*cw*(Tecs-Tef)*(Qmax-C101)/Tmax)&lt;G101,1,0))</f>
        <v>0</v>
      </c>
      <c r="K101" s="12" t="str">
        <f t="shared" si="24"/>
        <v>1 préparateur OBLC 150</v>
      </c>
      <c r="L101" s="35">
        <v>110</v>
      </c>
      <c r="M101" s="9">
        <f t="shared" ref="M101:M137" si="25">L101/10</f>
        <v>11</v>
      </c>
      <c r="N101" s="9">
        <f t="shared" ref="N101:N137" si="26">H101/1000</f>
        <v>0.48399999999999999</v>
      </c>
    </row>
    <row r="102" spans="1:14" x14ac:dyDescent="0.2">
      <c r="A102">
        <f t="shared" si="23"/>
        <v>0</v>
      </c>
      <c r="B102" s="9" t="s">
        <v>327</v>
      </c>
      <c r="C102" s="9">
        <v>145</v>
      </c>
      <c r="D102" s="9">
        <v>3</v>
      </c>
      <c r="E102" s="9">
        <v>90</v>
      </c>
      <c r="F102" s="4">
        <v>60</v>
      </c>
      <c r="G102" s="32">
        <v>31.3</v>
      </c>
      <c r="H102" s="30">
        <f>ROUND(G102*1000/1.16/50,0)</f>
        <v>540</v>
      </c>
      <c r="I102" s="9"/>
      <c r="J102">
        <f>IF(((Qmax-C102)/Tmax)&lt;((Qph-C102)/Tph),0,IF(Tecs=F102,1,0)*IF(E102=$B$1,1,0)*IF(C102&gt;=$B$2,1,0)*IF(('Tool ECS'!$C$32+1.2*pw*cw*(Tecs-Tef)*(Qmax-C102)/Tmax)&lt;G102,1,0))</f>
        <v>0</v>
      </c>
      <c r="K102" s="12" t="str">
        <f t="shared" si="24"/>
        <v>1 préparateur OBPB 150</v>
      </c>
      <c r="L102" s="34">
        <v>120</v>
      </c>
      <c r="M102" s="9">
        <f t="shared" si="25"/>
        <v>12</v>
      </c>
      <c r="N102" s="9">
        <f t="shared" si="26"/>
        <v>0.54</v>
      </c>
    </row>
    <row r="103" spans="1:14" x14ac:dyDescent="0.2">
      <c r="A103">
        <f t="shared" si="23"/>
        <v>0</v>
      </c>
      <c r="B103" s="9" t="s">
        <v>321</v>
      </c>
      <c r="C103" s="9">
        <v>195</v>
      </c>
      <c r="D103" s="9">
        <v>3</v>
      </c>
      <c r="E103" s="9">
        <v>90</v>
      </c>
      <c r="F103" s="4">
        <v>60</v>
      </c>
      <c r="G103" s="32">
        <v>35.6</v>
      </c>
      <c r="H103" s="30">
        <f t="shared" ref="H103:H137" si="27">ROUND(G103*1000/1.16/50,0)</f>
        <v>614</v>
      </c>
      <c r="I103" s="9"/>
      <c r="J103">
        <f>IF(((Qmax-C103)/Tmax)&lt;((Qph-C103)/Tph),0,IF(Tecs=F103,1,0)*IF(E103=$B$1,1,0)*IF(C103&gt;=$B$2,1,0)*IF(('Tool ECS'!$C$32+1.2*pw*cw*(Tecs-Tef)*(Qmax-C103)/Tmax)&lt;G103,1,0))</f>
        <v>0</v>
      </c>
      <c r="K103" s="12" t="str">
        <f t="shared" si="24"/>
        <v>1 préparateur OBLC 200</v>
      </c>
      <c r="L103" s="34">
        <v>120</v>
      </c>
      <c r="M103" s="9">
        <f t="shared" si="25"/>
        <v>12</v>
      </c>
      <c r="N103" s="9">
        <f t="shared" si="26"/>
        <v>0.61399999999999999</v>
      </c>
    </row>
    <row r="104" spans="1:14" x14ac:dyDescent="0.2">
      <c r="A104">
        <f t="shared" si="23"/>
        <v>0</v>
      </c>
      <c r="B104" s="9" t="s">
        <v>328</v>
      </c>
      <c r="C104" s="9">
        <v>195</v>
      </c>
      <c r="D104" s="9">
        <v>3</v>
      </c>
      <c r="E104" s="9">
        <v>90</v>
      </c>
      <c r="F104" s="4">
        <v>60</v>
      </c>
      <c r="G104" s="32">
        <v>42.1</v>
      </c>
      <c r="H104" s="30">
        <f t="shared" si="27"/>
        <v>726</v>
      </c>
      <c r="I104" s="9"/>
      <c r="J104">
        <f>IF(((Qmax-C104)/Tmax)&lt;((Qph-C104)/Tph),0,IF(Tecs=F104,1,0)*IF(E104=$B$1,1,0)*IF(C104&gt;=$B$2,1,0)*IF(('Tool ECS'!$C$32+1.2*pw*cw*(Tecs-Tef)*(Qmax-C104)/Tmax)&lt;G104,1,0))</f>
        <v>0</v>
      </c>
      <c r="K104" s="12" t="str">
        <f t="shared" si="24"/>
        <v>1 préparateur OBPB 200</v>
      </c>
      <c r="L104" s="34">
        <v>140</v>
      </c>
      <c r="M104" s="9">
        <f t="shared" si="25"/>
        <v>14</v>
      </c>
      <c r="N104" s="9">
        <f t="shared" si="26"/>
        <v>0.72599999999999998</v>
      </c>
    </row>
    <row r="105" spans="1:14" x14ac:dyDescent="0.2">
      <c r="A105">
        <f t="shared" si="23"/>
        <v>0</v>
      </c>
      <c r="B105" s="9" t="s">
        <v>322</v>
      </c>
      <c r="C105" s="9">
        <v>295</v>
      </c>
      <c r="D105" s="9">
        <v>3</v>
      </c>
      <c r="E105" s="9">
        <v>90</v>
      </c>
      <c r="F105" s="4">
        <v>60</v>
      </c>
      <c r="G105" s="32">
        <v>42.1</v>
      </c>
      <c r="H105" s="30">
        <f t="shared" si="27"/>
        <v>726</v>
      </c>
      <c r="I105" s="9"/>
      <c r="J105">
        <f>IF(((Qmax-C105)/Tmax)&lt;((Qph-C105)/Tph),0,IF(Tecs=F105,1,0)*IF(E105=$B$1,1,0)*IF(C105&gt;=$B$2,1,0)*IF(('Tool ECS'!$C$32+1.2*pw*cw*(Tecs-Tef)*(Qmax-C105)/Tmax)&lt;G105,1,0))</f>
        <v>0</v>
      </c>
      <c r="K105" s="12" t="str">
        <f t="shared" si="24"/>
        <v>1 préparateur OBLC 300</v>
      </c>
      <c r="L105" s="34">
        <v>130</v>
      </c>
      <c r="M105" s="9">
        <f t="shared" si="25"/>
        <v>13</v>
      </c>
      <c r="N105" s="9">
        <f t="shared" si="26"/>
        <v>0.72599999999999998</v>
      </c>
    </row>
    <row r="106" spans="1:14" x14ac:dyDescent="0.2">
      <c r="A106">
        <f t="shared" si="23"/>
        <v>0</v>
      </c>
      <c r="B106" s="9" t="s">
        <v>329</v>
      </c>
      <c r="C106" s="9">
        <v>290</v>
      </c>
      <c r="D106" s="9">
        <v>3</v>
      </c>
      <c r="E106" s="9">
        <v>90</v>
      </c>
      <c r="F106" s="4">
        <v>60</v>
      </c>
      <c r="G106" s="32">
        <v>58.3</v>
      </c>
      <c r="H106" s="30">
        <f t="shared" si="27"/>
        <v>1005</v>
      </c>
      <c r="I106" s="9"/>
      <c r="J106">
        <f>IF(((Qmax-C106)/Tmax)&lt;((Qph-C106)/Tph),0,IF(Tecs=F106,1,0)*IF(E106=$B$1,1,0)*IF(C106&gt;=$B$2,1,0)*IF(('Tool ECS'!$C$32+1.2*pw*cw*(Tecs-Tef)*(Qmax-C106)/Tmax)&lt;G106,1,0))</f>
        <v>0</v>
      </c>
      <c r="K106" s="12" t="str">
        <f t="shared" si="24"/>
        <v>1 préparateur OBPB 300</v>
      </c>
      <c r="L106" s="34">
        <v>170</v>
      </c>
      <c r="M106" s="9">
        <f t="shared" si="25"/>
        <v>17</v>
      </c>
      <c r="N106" s="9">
        <f t="shared" si="26"/>
        <v>1.0049999999999999</v>
      </c>
    </row>
    <row r="107" spans="1:14" x14ac:dyDescent="0.2">
      <c r="A107">
        <f t="shared" si="23"/>
        <v>0</v>
      </c>
      <c r="B107" s="9" t="s">
        <v>323</v>
      </c>
      <c r="C107" s="9">
        <v>390</v>
      </c>
      <c r="D107" s="9">
        <v>3</v>
      </c>
      <c r="E107" s="9">
        <v>90</v>
      </c>
      <c r="F107" s="4">
        <v>60</v>
      </c>
      <c r="G107" s="32">
        <v>60.5</v>
      </c>
      <c r="H107" s="30">
        <f t="shared" si="27"/>
        <v>1043</v>
      </c>
      <c r="I107" s="9"/>
      <c r="J107">
        <f>IF(((Qmax-C107)/Tmax)&lt;((Qph-C107)/Tph),0,IF(Tecs=F107,1,0)*IF(E107=$B$1,1,0)*IF(C107&gt;=$B$2,1,0)*IF(('Tool ECS'!$C$32+1.2*pw*cw*(Tecs-Tef)*(Qmax-C107)/Tmax)&lt;G107,1,0))</f>
        <v>0</v>
      </c>
      <c r="K107" s="12" t="str">
        <f t="shared" si="24"/>
        <v>1 préparateur OBLC 400</v>
      </c>
      <c r="L107" s="34">
        <v>170</v>
      </c>
      <c r="M107" s="9">
        <f t="shared" si="25"/>
        <v>17</v>
      </c>
      <c r="N107" s="9">
        <f t="shared" si="26"/>
        <v>1.0429999999999999</v>
      </c>
    </row>
    <row r="108" spans="1:14" x14ac:dyDescent="0.2">
      <c r="A108">
        <f t="shared" si="23"/>
        <v>0</v>
      </c>
      <c r="B108" s="9" t="s">
        <v>330</v>
      </c>
      <c r="C108" s="9">
        <v>385</v>
      </c>
      <c r="D108" s="9">
        <v>3</v>
      </c>
      <c r="E108" s="9">
        <v>90</v>
      </c>
      <c r="F108" s="4">
        <v>60</v>
      </c>
      <c r="G108" s="32">
        <v>73.400000000000006</v>
      </c>
      <c r="H108" s="30">
        <f t="shared" si="27"/>
        <v>1266</v>
      </c>
      <c r="I108" s="9"/>
      <c r="J108">
        <f>IF(((Qmax-C108)/Tmax)&lt;((Qph-C108)/Tph),0,IF(Tecs=F108,1,0)*IF(E108=$B$1,1,0)*IF(C108&gt;=$B$2,1,0)*IF(('Tool ECS'!$C$32+1.2*pw*cw*(Tecs-Tef)*(Qmax-C108)/Tmax)&lt;G108,1,0))</f>
        <v>0</v>
      </c>
      <c r="K108" s="12" t="str">
        <f t="shared" si="24"/>
        <v>1 préparateur OBPB 400</v>
      </c>
      <c r="L108" s="34">
        <v>200</v>
      </c>
      <c r="M108" s="9">
        <f t="shared" si="25"/>
        <v>20</v>
      </c>
      <c r="N108" s="9">
        <f t="shared" si="26"/>
        <v>1.266</v>
      </c>
    </row>
    <row r="109" spans="1:14" x14ac:dyDescent="0.2">
      <c r="A109">
        <f t="shared" si="23"/>
        <v>0</v>
      </c>
      <c r="B109" s="9" t="s">
        <v>324</v>
      </c>
      <c r="C109" s="9">
        <v>495</v>
      </c>
      <c r="D109" s="9">
        <v>3</v>
      </c>
      <c r="E109" s="9">
        <v>90</v>
      </c>
      <c r="F109" s="4">
        <v>60</v>
      </c>
      <c r="G109" s="32">
        <v>71.3</v>
      </c>
      <c r="H109" s="30">
        <f t="shared" si="27"/>
        <v>1229</v>
      </c>
      <c r="I109" s="9"/>
      <c r="J109">
        <f>IF(((Qmax-C109)/Tmax)&lt;((Qph-C109)/Tph),0,IF(Tecs=F109,1,0)*IF(E109=$B$1,1,0)*IF(C109&gt;=$B$2,1,0)*IF(('Tool ECS'!$C$32+1.2*pw*cw*(Tecs-Tef)*(Qmax-C109)/Tmax)&lt;G109,1,0))</f>
        <v>0</v>
      </c>
      <c r="K109" s="12" t="str">
        <f t="shared" si="24"/>
        <v>1 préparateur OBLC 500</v>
      </c>
      <c r="L109" s="34">
        <v>200</v>
      </c>
      <c r="M109" s="9">
        <f t="shared" si="25"/>
        <v>20</v>
      </c>
      <c r="N109" s="9">
        <f t="shared" si="26"/>
        <v>1.2290000000000001</v>
      </c>
    </row>
    <row r="110" spans="1:14" x14ac:dyDescent="0.2">
      <c r="A110">
        <f t="shared" si="23"/>
        <v>0</v>
      </c>
      <c r="B110" s="9" t="s">
        <v>331</v>
      </c>
      <c r="C110" s="9">
        <v>485</v>
      </c>
      <c r="D110" s="9">
        <v>3</v>
      </c>
      <c r="E110" s="9">
        <v>90</v>
      </c>
      <c r="F110" s="4">
        <v>60</v>
      </c>
      <c r="G110" s="32">
        <v>92.9</v>
      </c>
      <c r="H110" s="30">
        <f t="shared" si="27"/>
        <v>1602</v>
      </c>
      <c r="I110" s="9"/>
      <c r="J110">
        <f>IF(((Qmax-C110)/Tmax)&lt;((Qph-C110)/Tph),0,IF(Tecs=F110,1,0)*IF(E110=$B$1,1,0)*IF(C110&gt;=$B$2,1,0)*IF(('Tool ECS'!$C$32+1.2*pw*cw*(Tecs-Tef)*(Qmax-C110)/Tmax)&lt;G110,1,0))</f>
        <v>0</v>
      </c>
      <c r="K110" s="12" t="str">
        <f t="shared" si="24"/>
        <v>1 préparateur OBPB 500</v>
      </c>
      <c r="L110" s="34">
        <v>260</v>
      </c>
      <c r="M110" s="9">
        <f t="shared" si="25"/>
        <v>26</v>
      </c>
      <c r="N110" s="9">
        <f t="shared" si="26"/>
        <v>1.6020000000000001</v>
      </c>
    </row>
    <row r="111" spans="1:14" x14ac:dyDescent="0.2">
      <c r="A111">
        <f t="shared" si="23"/>
        <v>0</v>
      </c>
      <c r="B111" s="9" t="str">
        <f>CONCATENATE("2 - ",B105)</f>
        <v>2 - OBLC 300</v>
      </c>
      <c r="C111" s="9">
        <f>2*C105</f>
        <v>590</v>
      </c>
      <c r="D111" s="9">
        <v>6</v>
      </c>
      <c r="E111" s="9">
        <v>90</v>
      </c>
      <c r="F111" s="4">
        <v>60</v>
      </c>
      <c r="G111" s="32">
        <v>84.2</v>
      </c>
      <c r="H111" s="30">
        <f t="shared" si="27"/>
        <v>1452</v>
      </c>
      <c r="I111" s="9"/>
      <c r="J111">
        <f>IF(((Qmax-C111)/Tmax)&lt;((Qph-C111)/Tph),0,IF(Tecs=F111,1,0)*IF(E111=$B$1,1,0)*IF(C111&gt;=$B$2,1,0)*IF(('Tool ECS'!$C$32+1.2*pw*cw*(Tecs-Tef)*(Qmax-C111)/Tmax)&lt;G111,1,0))</f>
        <v>0</v>
      </c>
      <c r="K111" s="12" t="str">
        <f t="shared" si="24"/>
        <v>2 préparateurs OBLC 300 raccordés en parallèle</v>
      </c>
      <c r="L111" s="34">
        <f>L105</f>
        <v>130</v>
      </c>
      <c r="M111" s="9">
        <f t="shared" si="25"/>
        <v>13</v>
      </c>
      <c r="N111" s="9">
        <f t="shared" si="26"/>
        <v>1.452</v>
      </c>
    </row>
    <row r="112" spans="1:14" x14ac:dyDescent="0.2">
      <c r="A112">
        <f t="shared" si="23"/>
        <v>0</v>
      </c>
      <c r="B112" s="9" t="str">
        <f>CONCATENATE("2 - ",B106)</f>
        <v>2 - OBPB 300</v>
      </c>
      <c r="C112" s="9">
        <f>2*C105</f>
        <v>590</v>
      </c>
      <c r="D112" s="9">
        <v>6</v>
      </c>
      <c r="E112" s="9">
        <v>90</v>
      </c>
      <c r="F112" s="4">
        <v>60</v>
      </c>
      <c r="G112" s="32">
        <f>2*G106</f>
        <v>116.6</v>
      </c>
      <c r="H112" s="30">
        <f t="shared" si="27"/>
        <v>2010</v>
      </c>
      <c r="I112" s="9"/>
      <c r="J112">
        <f>IF(((Qmax-C112)/Tmax)&lt;((Qph-C112)/Tph),0,IF(Tecs=F112,1,0)*IF(E112=$B$1,1,0)*IF(C112&gt;=$B$2,1,0)*IF(('Tool ECS'!$C$32+1.2*pw*cw*(Tecs-Tef)*(Qmax-C112)/Tmax)&lt;G112,1,0))</f>
        <v>0</v>
      </c>
      <c r="K112" s="12" t="str">
        <f t="shared" si="24"/>
        <v>2 préparateurs OBPB 300 raccordés en parallèle</v>
      </c>
      <c r="L112" s="34">
        <f>L106</f>
        <v>170</v>
      </c>
      <c r="M112" s="9">
        <f t="shared" si="25"/>
        <v>17</v>
      </c>
      <c r="N112" s="9">
        <f t="shared" si="26"/>
        <v>2.0099999999999998</v>
      </c>
    </row>
    <row r="113" spans="1:14" s="85" customFormat="1" x14ac:dyDescent="0.2">
      <c r="A113">
        <f t="shared" si="23"/>
        <v>0</v>
      </c>
      <c r="B113" s="85" t="s">
        <v>335</v>
      </c>
      <c r="C113" s="85">
        <v>650</v>
      </c>
      <c r="D113" s="85">
        <v>6.6</v>
      </c>
      <c r="E113" s="85">
        <v>90</v>
      </c>
      <c r="F113" s="172">
        <v>60</v>
      </c>
      <c r="G113" s="173">
        <v>114</v>
      </c>
      <c r="H113" s="174">
        <f t="shared" si="27"/>
        <v>1966</v>
      </c>
      <c r="J113">
        <f>IF(((Qmax-C113)/Tmax)&lt;((Qph-C113)/Tph),0,IF(Tecs=F113,1,0)*IF(E113=$B$1,1,0)*IF(C113&gt;=$B$2,1,0)*IF(('Tool ECS'!$C$32+1.2*pw*cw*(Tecs-Tef)*(Qmax-C113)/Tmax)&lt;G113,1,0))</f>
        <v>0</v>
      </c>
      <c r="K113" s="85" t="str">
        <f t="shared" si="24"/>
        <v>1 préparateur OB 650</v>
      </c>
      <c r="L113" s="175">
        <v>330</v>
      </c>
      <c r="M113" s="85">
        <f t="shared" si="25"/>
        <v>33</v>
      </c>
      <c r="N113" s="85">
        <f t="shared" si="26"/>
        <v>1.966</v>
      </c>
    </row>
    <row r="114" spans="1:14" s="85" customFormat="1" x14ac:dyDescent="0.2">
      <c r="A114">
        <f t="shared" si="23"/>
        <v>0</v>
      </c>
      <c r="B114" s="85" t="s">
        <v>336</v>
      </c>
      <c r="C114" s="85">
        <v>780</v>
      </c>
      <c r="D114" s="85">
        <v>6.6</v>
      </c>
      <c r="E114" s="85">
        <v>90</v>
      </c>
      <c r="F114" s="172">
        <v>60</v>
      </c>
      <c r="G114" s="173">
        <v>114</v>
      </c>
      <c r="H114" s="174">
        <f>ROUND(G114*1000/1.16/50,0)</f>
        <v>1966</v>
      </c>
      <c r="J114">
        <f>IF(((Qmax-C114)/Tmax)&lt;((Qph-C114)/Tph),0,IF(Tecs=F114,1,0)*IF(E114=$B$1,1,0)*IF(C114&gt;=$B$2,1,0)*IF(('Tool ECS'!$C$32+1.2*pw*cw*(Tecs-Tef)*(Qmax-C114)/Tmax)&lt;G114,1,0))</f>
        <v>0</v>
      </c>
      <c r="K114" s="85" t="str">
        <f t="shared" si="24"/>
        <v>1 préparateur OB 800</v>
      </c>
      <c r="L114" s="175">
        <v>330</v>
      </c>
      <c r="M114" s="85">
        <f>L114/10</f>
        <v>33</v>
      </c>
      <c r="N114" s="85">
        <f>H114/1000</f>
        <v>1.966</v>
      </c>
    </row>
    <row r="115" spans="1:14" x14ac:dyDescent="0.2">
      <c r="A115">
        <f t="shared" si="23"/>
        <v>0</v>
      </c>
      <c r="B115" s="9" t="str">
        <f>CONCATENATE("2 - ",B107)</f>
        <v>2 - OBLC 400</v>
      </c>
      <c r="C115" s="9">
        <f>2*C107</f>
        <v>780</v>
      </c>
      <c r="D115" s="9">
        <v>6</v>
      </c>
      <c r="E115" s="9">
        <v>90</v>
      </c>
      <c r="F115" s="4">
        <v>60</v>
      </c>
      <c r="G115" s="32">
        <f>2*G107</f>
        <v>121</v>
      </c>
      <c r="H115" s="30">
        <f t="shared" si="27"/>
        <v>2086</v>
      </c>
      <c r="I115" s="9"/>
      <c r="J115">
        <f>IF(((Qmax-C115)/Tmax)&lt;((Qph-C115)/Tph),0,IF(Tecs=F115,1,0)*IF(E115=$B$1,1,0)*IF(C115&gt;=$B$2,1,0)*IF(('Tool ECS'!$C$32+1.2*pw*cw*(Tecs-Tef)*(Qmax-C115)/Tmax)&lt;G115,1,0))</f>
        <v>0</v>
      </c>
      <c r="K115" s="12" t="str">
        <f t="shared" si="24"/>
        <v>2 préparateurs OBLC 400 raccordés en parallèle</v>
      </c>
      <c r="L115" s="34">
        <f>L107</f>
        <v>170</v>
      </c>
      <c r="M115" s="9">
        <f t="shared" si="25"/>
        <v>17</v>
      </c>
      <c r="N115" s="9">
        <f t="shared" si="26"/>
        <v>2.0859999999999999</v>
      </c>
    </row>
    <row r="116" spans="1:14" x14ac:dyDescent="0.2">
      <c r="A116">
        <f t="shared" si="23"/>
        <v>0</v>
      </c>
      <c r="B116" s="9" t="str">
        <f>CONCATENATE("2 - ",B108)</f>
        <v>2 - OBPB 400</v>
      </c>
      <c r="C116" s="9">
        <f>2*C108</f>
        <v>770</v>
      </c>
      <c r="D116" s="9">
        <v>6</v>
      </c>
      <c r="E116" s="9">
        <v>90</v>
      </c>
      <c r="F116" s="4">
        <v>60</v>
      </c>
      <c r="G116" s="32">
        <f>2*G108</f>
        <v>146.80000000000001</v>
      </c>
      <c r="H116" s="30">
        <f t="shared" si="27"/>
        <v>2531</v>
      </c>
      <c r="I116" s="9"/>
      <c r="J116">
        <f>IF(((Qmax-C116)/Tmax)&lt;((Qph-C116)/Tph),0,IF(Tecs=F116,1,0)*IF(E116=$B$1,1,0)*IF(C116&gt;=$B$2,1,0)*IF(('Tool ECS'!$C$32+1.2*pw*cw*(Tecs-Tef)*(Qmax-C116)/Tmax)&lt;G116,1,0))</f>
        <v>0</v>
      </c>
      <c r="K116" s="12" t="str">
        <f t="shared" si="24"/>
        <v>2 préparateurs OBPB 400 raccordés en parallèle</v>
      </c>
      <c r="L116" s="34">
        <f>L108</f>
        <v>200</v>
      </c>
      <c r="M116" s="9">
        <f t="shared" si="25"/>
        <v>20</v>
      </c>
      <c r="N116" s="9">
        <f t="shared" si="26"/>
        <v>2.5310000000000001</v>
      </c>
    </row>
    <row r="117" spans="1:14" x14ac:dyDescent="0.2">
      <c r="A117">
        <f t="shared" si="23"/>
        <v>0</v>
      </c>
      <c r="B117" s="9" t="str">
        <f>CONCATENATE("2 - ",B109)</f>
        <v>2 - OBLC 500</v>
      </c>
      <c r="C117" s="9">
        <f>2*C109</f>
        <v>990</v>
      </c>
      <c r="D117" s="9">
        <v>9</v>
      </c>
      <c r="E117" s="9">
        <v>90</v>
      </c>
      <c r="F117" s="4">
        <v>60</v>
      </c>
      <c r="G117" s="32">
        <f>3*G105</f>
        <v>126.30000000000001</v>
      </c>
      <c r="H117" s="30">
        <f t="shared" si="27"/>
        <v>2178</v>
      </c>
      <c r="I117" s="9"/>
      <c r="J117">
        <f>IF(((Qmax-C117)/Tmax)&lt;((Qph-C117)/Tph),0,IF(Tecs=F117,1,0)*IF(E117=$B$1,1,0)*IF(C117&gt;=$B$2,1,0)*IF(('Tool ECS'!$C$32+1.2*pw*cw*(Tecs-Tef)*(Qmax-C117)/Tmax)&lt;G117,1,0))</f>
        <v>0</v>
      </c>
      <c r="K117" s="12" t="str">
        <f t="shared" si="24"/>
        <v>3 préparateurs OBLC 300 raccordés en parallèle</v>
      </c>
      <c r="L117" s="34">
        <f>L105</f>
        <v>130</v>
      </c>
      <c r="M117" s="9">
        <f t="shared" si="25"/>
        <v>13</v>
      </c>
      <c r="N117" s="9">
        <f t="shared" si="26"/>
        <v>2.1779999999999999</v>
      </c>
    </row>
    <row r="118" spans="1:14" x14ac:dyDescent="0.2">
      <c r="A118">
        <f t="shared" si="23"/>
        <v>0</v>
      </c>
      <c r="B118" s="9" t="s">
        <v>332</v>
      </c>
      <c r="C118" s="9">
        <f>3*C106</f>
        <v>870</v>
      </c>
      <c r="D118" s="9">
        <v>9</v>
      </c>
      <c r="E118" s="9">
        <v>90</v>
      </c>
      <c r="F118" s="4">
        <v>60</v>
      </c>
      <c r="G118" s="32">
        <f>3*G106</f>
        <v>174.89999999999998</v>
      </c>
      <c r="H118" s="30">
        <f t="shared" si="27"/>
        <v>3016</v>
      </c>
      <c r="I118" s="9"/>
      <c r="J118">
        <f>IF(((Qmax-C118)/Tmax)&lt;((Qph-C118)/Tph),0,IF(Tecs=F118,1,0)*IF(E118=$B$1,1,0)*IF(C118&gt;=$B$2,1,0)*IF(('Tool ECS'!$C$32+1.2*pw*cw*(Tecs-Tef)*(Qmax-C118)/Tmax)&lt;G118,1,0))</f>
        <v>0</v>
      </c>
      <c r="K118" s="12" t="str">
        <f t="shared" si="24"/>
        <v>3 préparateurs OBPB 300 raccordés en parallèle</v>
      </c>
      <c r="L118" s="34">
        <f>L106</f>
        <v>170</v>
      </c>
      <c r="M118" s="9">
        <f t="shared" si="25"/>
        <v>17</v>
      </c>
      <c r="N118" s="9">
        <f t="shared" si="26"/>
        <v>3.016</v>
      </c>
    </row>
    <row r="119" spans="1:14" s="85" customFormat="1" x14ac:dyDescent="0.2">
      <c r="A119" s="85">
        <f t="shared" si="23"/>
        <v>0</v>
      </c>
      <c r="B119" s="85" t="s">
        <v>337</v>
      </c>
      <c r="C119" s="85">
        <v>980</v>
      </c>
      <c r="D119" s="85">
        <v>7.2</v>
      </c>
      <c r="E119" s="85">
        <v>90</v>
      </c>
      <c r="F119" s="172">
        <v>60</v>
      </c>
      <c r="G119" s="173">
        <v>125.4</v>
      </c>
      <c r="H119" s="174">
        <f t="shared" si="27"/>
        <v>2162</v>
      </c>
      <c r="J119">
        <f>IF(((Qmax-C119)/Tmax)&lt;((Qph-C119)/Tph),0,IF(Tecs=F119,1,0)*IF(E119=$B$1,1,0)*IF(C119&gt;=$B$2,1,0)*IF(('Tool ECS'!$C$32+1.2*pw*cw*(Tecs-Tef)*(Qmax-C119)/Tmax)&lt;G119,1,0))</f>
        <v>0</v>
      </c>
      <c r="K119" s="85" t="str">
        <f t="shared" si="24"/>
        <v>1 préparateur OB 1000</v>
      </c>
      <c r="L119" s="175">
        <v>490</v>
      </c>
      <c r="M119" s="85">
        <f t="shared" si="25"/>
        <v>49</v>
      </c>
      <c r="N119" s="85">
        <f t="shared" si="26"/>
        <v>2.1619999999999999</v>
      </c>
    </row>
    <row r="120" spans="1:14" x14ac:dyDescent="0.2">
      <c r="A120">
        <f t="shared" si="23"/>
        <v>0</v>
      </c>
      <c r="B120" s="9" t="str">
        <f>CONCATENATE("2 - ",B109)</f>
        <v>2 - OBLC 500</v>
      </c>
      <c r="C120" s="9">
        <f>2*C109</f>
        <v>990</v>
      </c>
      <c r="D120" s="9">
        <v>6</v>
      </c>
      <c r="E120" s="9">
        <v>90</v>
      </c>
      <c r="F120" s="4">
        <v>60</v>
      </c>
      <c r="G120" s="32">
        <f>2*G109</f>
        <v>142.6</v>
      </c>
      <c r="H120" s="30">
        <f t="shared" si="27"/>
        <v>2459</v>
      </c>
      <c r="I120" s="9"/>
      <c r="J120">
        <f>IF(((Qmax-C120)/Tmax)&lt;((Qph-C120)/Tph),0,IF(Tecs=F120,1,0)*IF(E120=$B$1,1,0)*IF(C120&gt;=$B$2,1,0)*IF(('Tool ECS'!$C$32+1.2*pw*cw*(Tecs-Tef)*(Qmax-C120)/Tmax)&lt;G120,1,0))</f>
        <v>0</v>
      </c>
      <c r="K120" s="12" t="str">
        <f t="shared" si="24"/>
        <v>2 préparateurs OBLC 500 raccordés en parallèle</v>
      </c>
      <c r="L120" s="34">
        <f>L109</f>
        <v>200</v>
      </c>
      <c r="M120" s="9">
        <f t="shared" si="25"/>
        <v>20</v>
      </c>
      <c r="N120" s="9">
        <f t="shared" si="26"/>
        <v>2.4590000000000001</v>
      </c>
    </row>
    <row r="121" spans="1:14" x14ac:dyDescent="0.2">
      <c r="A121">
        <f t="shared" si="23"/>
        <v>0</v>
      </c>
      <c r="B121" s="9" t="str">
        <f>CONCATENATE("2 - ",B110)</f>
        <v>2 - OBPB 500</v>
      </c>
      <c r="C121" s="9">
        <f>2*C110</f>
        <v>970</v>
      </c>
      <c r="D121" s="9">
        <v>6</v>
      </c>
      <c r="E121" s="9">
        <v>90</v>
      </c>
      <c r="F121" s="4">
        <v>60</v>
      </c>
      <c r="G121" s="32">
        <f>2*G110</f>
        <v>185.8</v>
      </c>
      <c r="H121" s="30">
        <f t="shared" si="27"/>
        <v>3203</v>
      </c>
      <c r="I121" s="9"/>
      <c r="J121">
        <f>IF(((Qmax-C121)/Tmax)&lt;((Qph-C121)/Tph),0,IF(Tecs=F121,1,0)*IF(E121=$B$1,1,0)*IF(C121&gt;=$B$2,1,0)*IF(('Tool ECS'!$C$32+1.2*pw*cw*(Tecs-Tef)*(Qmax-C121)/Tmax)&lt;G121,1,0))</f>
        <v>0</v>
      </c>
      <c r="K121" s="12" t="str">
        <f t="shared" si="24"/>
        <v>2 préparateurs OBPB 500 raccordés en parallèle</v>
      </c>
      <c r="L121" s="34">
        <f>L110</f>
        <v>260</v>
      </c>
      <c r="M121" s="9">
        <f t="shared" si="25"/>
        <v>26</v>
      </c>
      <c r="N121" s="9">
        <f t="shared" si="26"/>
        <v>3.2029999999999998</v>
      </c>
    </row>
    <row r="122" spans="1:14" x14ac:dyDescent="0.2">
      <c r="A122">
        <f t="shared" si="23"/>
        <v>0</v>
      </c>
      <c r="B122" s="9" t="s">
        <v>325</v>
      </c>
      <c r="C122" s="9">
        <f>3*C107</f>
        <v>1170</v>
      </c>
      <c r="D122" s="9">
        <v>9</v>
      </c>
      <c r="E122" s="9">
        <v>90</v>
      </c>
      <c r="F122" s="4">
        <v>60</v>
      </c>
      <c r="G122" s="32">
        <f>3*G107</f>
        <v>181.5</v>
      </c>
      <c r="H122" s="30">
        <f t="shared" si="27"/>
        <v>3129</v>
      </c>
      <c r="I122" s="9"/>
      <c r="J122">
        <f>IF(((Qmax-C122)/Tmax)&lt;((Qph-C122)/Tph),0,IF(Tecs=F122,1,0)*IF(E122=$B$1,1,0)*IF(C122&gt;=$B$2,1,0)*IF(('Tool ECS'!$C$32+1.2*pw*cw*(Tecs-Tef)*(Qmax-C122)/Tmax)&lt;G122,1,0))</f>
        <v>0</v>
      </c>
      <c r="K122" s="12" t="str">
        <f t="shared" si="24"/>
        <v>3 préparateurs OBLC 400 raccordés en parallèle</v>
      </c>
      <c r="L122" s="34">
        <f>L107</f>
        <v>170</v>
      </c>
      <c r="M122" s="9">
        <f t="shared" si="25"/>
        <v>17</v>
      </c>
      <c r="N122" s="9">
        <f t="shared" si="26"/>
        <v>3.129</v>
      </c>
    </row>
    <row r="123" spans="1:14" x14ac:dyDescent="0.2">
      <c r="A123">
        <f t="shared" si="23"/>
        <v>0</v>
      </c>
      <c r="B123" s="9" t="s">
        <v>333</v>
      </c>
      <c r="C123" s="9">
        <f>3*C108</f>
        <v>1155</v>
      </c>
      <c r="D123" s="9">
        <v>9</v>
      </c>
      <c r="E123" s="9">
        <v>90</v>
      </c>
      <c r="F123" s="4">
        <v>60</v>
      </c>
      <c r="G123" s="32">
        <f>3*G108</f>
        <v>220.20000000000002</v>
      </c>
      <c r="H123" s="30">
        <f t="shared" si="27"/>
        <v>3797</v>
      </c>
      <c r="I123" s="9"/>
      <c r="J123">
        <f>IF(((Qmax-C123)/Tmax)&lt;((Qph-C123)/Tph),0,IF(Tecs=F123,1,0)*IF(E123=$B$1,1,0)*IF(C123&gt;=$B$2,1,0)*IF(('Tool ECS'!$C$32+1.2*pw*cw*(Tecs-Tef)*(Qmax-C123)/Tmax)&lt;G123,1,0))</f>
        <v>0</v>
      </c>
      <c r="K123" s="12" t="str">
        <f t="shared" si="24"/>
        <v>3 préparateurs OBPB 400 raccordés en parallèle</v>
      </c>
      <c r="L123" s="34">
        <f>L108</f>
        <v>200</v>
      </c>
      <c r="M123" s="9">
        <f t="shared" si="25"/>
        <v>20</v>
      </c>
      <c r="N123" s="9">
        <f t="shared" si="26"/>
        <v>3.7970000000000002</v>
      </c>
    </row>
    <row r="124" spans="1:14" s="85" customFormat="1" x14ac:dyDescent="0.2">
      <c r="A124" s="85">
        <f t="shared" si="23"/>
        <v>0</v>
      </c>
      <c r="B124" s="85" t="s">
        <v>338</v>
      </c>
      <c r="C124" s="85">
        <f>2*C113</f>
        <v>1300</v>
      </c>
      <c r="D124" s="85">
        <f>2*D113</f>
        <v>13.2</v>
      </c>
      <c r="E124" s="85">
        <v>90</v>
      </c>
      <c r="F124" s="172">
        <v>60</v>
      </c>
      <c r="G124" s="173">
        <f>2*G113</f>
        <v>228</v>
      </c>
      <c r="H124" s="174">
        <f t="shared" si="27"/>
        <v>3931</v>
      </c>
      <c r="J124">
        <f>IF(((Qmax-C124)/Tmax)&lt;((Qph-C124)/Tph),0,IF(Tecs=F124,1,0)*IF(E124=$B$1,1,0)*IF(C124&gt;=$B$2,1,0)*IF(('Tool ECS'!$C$32+1.2*pw*cw*(Tecs-Tef)*(Qmax-C124)/Tmax)&lt;G124,1,0))</f>
        <v>0</v>
      </c>
      <c r="K124" s="85" t="str">
        <f t="shared" si="24"/>
        <v>2 préparateurs OB 650</v>
      </c>
      <c r="L124" s="175">
        <f>+L113</f>
        <v>330</v>
      </c>
      <c r="M124" s="85">
        <f t="shared" si="25"/>
        <v>33</v>
      </c>
      <c r="N124" s="85">
        <f t="shared" si="26"/>
        <v>3.931</v>
      </c>
    </row>
    <row r="125" spans="1:14" s="85" customFormat="1" x14ac:dyDescent="0.2">
      <c r="A125" s="85">
        <f t="shared" si="23"/>
        <v>0</v>
      </c>
      <c r="B125" s="85" t="s">
        <v>339</v>
      </c>
      <c r="C125" s="85">
        <v>1500</v>
      </c>
      <c r="D125" s="85">
        <v>9</v>
      </c>
      <c r="E125" s="85">
        <v>90</v>
      </c>
      <c r="F125" s="172">
        <v>60</v>
      </c>
      <c r="G125" s="173">
        <v>156.80000000000001</v>
      </c>
      <c r="H125" s="174">
        <f t="shared" si="27"/>
        <v>2703</v>
      </c>
      <c r="J125">
        <f>IF(((Qmax-C125)/Tmax)&lt;((Qph-C125)/Tph),0,IF(Tecs=F125,1,0)*IF(E125=$B$1,1,0)*IF(C125&gt;=$B$2,1,0)*IF(('Tool ECS'!$C$32+1.2*pw*cw*(Tecs-Tef)*(Qmax-C125)/Tmax)&lt;G125,1,0))</f>
        <v>0</v>
      </c>
      <c r="K125" s="85" t="str">
        <f t="shared" si="24"/>
        <v>1 préparateur OB 1500</v>
      </c>
      <c r="L125" s="175">
        <v>860</v>
      </c>
      <c r="M125" s="85">
        <f t="shared" si="25"/>
        <v>86</v>
      </c>
      <c r="N125" s="85">
        <f t="shared" si="26"/>
        <v>2.7029999999999998</v>
      </c>
    </row>
    <row r="126" spans="1:14" x14ac:dyDescent="0.2">
      <c r="A126">
        <f t="shared" si="23"/>
        <v>0</v>
      </c>
      <c r="B126" s="9" t="s">
        <v>326</v>
      </c>
      <c r="C126" s="9">
        <f>3*C109</f>
        <v>1485</v>
      </c>
      <c r="D126" s="9">
        <v>9</v>
      </c>
      <c r="E126" s="9">
        <v>90</v>
      </c>
      <c r="F126" s="4">
        <v>60</v>
      </c>
      <c r="G126" s="32">
        <f>3*G109</f>
        <v>213.89999999999998</v>
      </c>
      <c r="H126" s="30">
        <f t="shared" si="27"/>
        <v>3688</v>
      </c>
      <c r="I126" s="9"/>
      <c r="J126">
        <f>IF(((Qmax-C126)/Tmax)&lt;((Qph-C126)/Tph),0,IF(Tecs=F126,1,0)*IF(E126=$B$1,1,0)*IF(C126&gt;=$B$2,1,0)*IF(('Tool ECS'!$C$32+1.2*pw*cw*(Tecs-Tef)*(Qmax-C126)/Tmax)&lt;G126,1,0))</f>
        <v>0</v>
      </c>
      <c r="K126" s="12" t="str">
        <f t="shared" si="24"/>
        <v>3 préparateurs OBLC 500 raccordés en parallèle</v>
      </c>
      <c r="L126" s="34">
        <f>L109</f>
        <v>200</v>
      </c>
      <c r="M126" s="9">
        <f t="shared" si="25"/>
        <v>20</v>
      </c>
      <c r="N126" s="9">
        <f t="shared" si="26"/>
        <v>3.6880000000000002</v>
      </c>
    </row>
    <row r="127" spans="1:14" x14ac:dyDescent="0.2">
      <c r="A127">
        <f t="shared" si="23"/>
        <v>0</v>
      </c>
      <c r="B127" s="9" t="s">
        <v>334</v>
      </c>
      <c r="C127" s="9">
        <f>3*C110</f>
        <v>1455</v>
      </c>
      <c r="D127" s="9">
        <v>9</v>
      </c>
      <c r="E127" s="9">
        <v>90</v>
      </c>
      <c r="F127" s="4">
        <v>60</v>
      </c>
      <c r="G127" s="32">
        <f>3*G110</f>
        <v>278.70000000000005</v>
      </c>
      <c r="H127" s="30">
        <f t="shared" si="27"/>
        <v>4805</v>
      </c>
      <c r="I127" s="9"/>
      <c r="J127">
        <f>IF(((Qmax-C127)/Tmax)&lt;((Qph-C127)/Tph),0,IF(Tecs=F127,1,0)*IF(E127=$B$1,1,0)*IF(C127&gt;=$B$2,1,0)*IF(('Tool ECS'!$C$32+1.2*pw*cw*(Tecs-Tef)*(Qmax-C127)/Tmax)&lt;G127,1,0))</f>
        <v>0</v>
      </c>
      <c r="K127" s="12" t="str">
        <f t="shared" si="24"/>
        <v>3 préparateurs OBPB 500 raccordés en parallèle</v>
      </c>
      <c r="L127" s="34">
        <f>L110</f>
        <v>260</v>
      </c>
      <c r="M127" s="9">
        <f t="shared" si="25"/>
        <v>26</v>
      </c>
      <c r="N127" s="9">
        <f t="shared" si="26"/>
        <v>4.8049999999999997</v>
      </c>
    </row>
    <row r="128" spans="1:14" s="85" customFormat="1" x14ac:dyDescent="0.2">
      <c r="A128" s="85">
        <f t="shared" si="23"/>
        <v>0</v>
      </c>
      <c r="B128" s="85" t="s">
        <v>340</v>
      </c>
      <c r="C128" s="85">
        <v>1560</v>
      </c>
      <c r="D128" s="85">
        <f>2*D114</f>
        <v>13.2</v>
      </c>
      <c r="E128" s="85">
        <v>90</v>
      </c>
      <c r="F128" s="172">
        <v>60</v>
      </c>
      <c r="G128" s="173">
        <f>2*G114</f>
        <v>228</v>
      </c>
      <c r="H128" s="174">
        <f t="shared" si="27"/>
        <v>3931</v>
      </c>
      <c r="J128">
        <f>IF(((Qmax-C128)/Tmax)&lt;((Qph-C128)/Tph),0,IF(Tecs=F128,1,0)*IF(E128=$B$1,1,0)*IF(C128&gt;=$B$2,1,0)*IF(('Tool ECS'!$C$32+1.2*pw*cw*(Tecs-Tef)*(Qmax-C128)/Tmax)&lt;G128,1,0))</f>
        <v>0</v>
      </c>
      <c r="K128" s="85" t="str">
        <f t="shared" si="24"/>
        <v>2 préparateurs OB 800 raccordés en parallèle</v>
      </c>
      <c r="L128" s="175">
        <f>+L114</f>
        <v>330</v>
      </c>
      <c r="M128" s="85">
        <f t="shared" si="25"/>
        <v>33</v>
      </c>
      <c r="N128" s="85">
        <f t="shared" si="26"/>
        <v>3.931</v>
      </c>
    </row>
    <row r="129" spans="1:23" x14ac:dyDescent="0.2">
      <c r="A129" s="85">
        <f t="shared" si="23"/>
        <v>0</v>
      </c>
      <c r="B129" s="9" t="s">
        <v>341</v>
      </c>
      <c r="C129" s="9">
        <f>3*C113</f>
        <v>1950</v>
      </c>
      <c r="D129" s="9">
        <f>3*D113</f>
        <v>19.799999999999997</v>
      </c>
      <c r="E129" s="9">
        <v>90</v>
      </c>
      <c r="F129" s="4">
        <v>60</v>
      </c>
      <c r="G129" s="32">
        <f>3*G113</f>
        <v>342</v>
      </c>
      <c r="H129" s="30">
        <f t="shared" si="27"/>
        <v>5897</v>
      </c>
      <c r="I129" s="9"/>
      <c r="J129">
        <f>IF(((Qmax-C129)/Tmax)&lt;((Qph-C129)/Tph),0,IF(Tecs=F129,1,0)*IF(E129=$B$1,1,0)*IF(C129&gt;=$B$2,1,0)*IF(('Tool ECS'!$C$32+1.2*pw*cw*(Tecs-Tef)*(Qmax-C129)/Tmax)&lt;G129,1,0))</f>
        <v>0</v>
      </c>
      <c r="K129" s="12" t="str">
        <f t="shared" si="24"/>
        <v>3 préparateurs OB 650</v>
      </c>
      <c r="L129" s="34">
        <f>+L113</f>
        <v>330</v>
      </c>
      <c r="M129" s="9">
        <f t="shared" si="25"/>
        <v>33</v>
      </c>
      <c r="N129" s="9">
        <f t="shared" si="26"/>
        <v>5.8970000000000002</v>
      </c>
    </row>
    <row r="130" spans="1:23" x14ac:dyDescent="0.2">
      <c r="A130" s="85">
        <f t="shared" si="23"/>
        <v>0</v>
      </c>
      <c r="B130" s="9" t="s">
        <v>343</v>
      </c>
      <c r="C130" s="9">
        <v>1960</v>
      </c>
      <c r="D130" s="9">
        <f>2*D119</f>
        <v>14.4</v>
      </c>
      <c r="E130" s="9">
        <v>90</v>
      </c>
      <c r="F130" s="4">
        <v>60</v>
      </c>
      <c r="G130" s="32">
        <f>2*G119</f>
        <v>250.8</v>
      </c>
      <c r="H130" s="30">
        <f>ROUND(G130*1000/1.16/50,0)</f>
        <v>4324</v>
      </c>
      <c r="I130" s="9"/>
      <c r="J130">
        <f>IF(((Qmax-C130)/Tmax)&lt;((Qph-C130)/Tph),0,IF(Tecs=F130,1,0)*IF(E130=$B$1,1,0)*IF(C130&gt;=$B$2,1,0)*IF(('Tool ECS'!$C$32+1.2*pw*cw*(Tecs-Tef)*(Qmax-C130)/Tmax)&lt;G130,1,0))</f>
        <v>0</v>
      </c>
      <c r="K130" s="12" t="str">
        <f t="shared" si="24"/>
        <v>2 préparateurs OB 1000 raccordés en parallèle</v>
      </c>
      <c r="L130" s="34">
        <f>+L119</f>
        <v>490</v>
      </c>
      <c r="M130" s="9">
        <f>L130/10</f>
        <v>49</v>
      </c>
      <c r="N130" s="9">
        <f>H130/1000</f>
        <v>4.3239999999999998</v>
      </c>
    </row>
    <row r="131" spans="1:23" s="85" customFormat="1" x14ac:dyDescent="0.2">
      <c r="A131" s="85">
        <f t="shared" si="23"/>
        <v>0</v>
      </c>
      <c r="B131" s="85" t="s">
        <v>342</v>
      </c>
      <c r="C131" s="85">
        <v>2000</v>
      </c>
      <c r="D131" s="85">
        <v>9</v>
      </c>
      <c r="E131" s="85">
        <v>90</v>
      </c>
      <c r="F131" s="172">
        <v>60</v>
      </c>
      <c r="G131" s="173">
        <v>156.80000000000001</v>
      </c>
      <c r="H131" s="174">
        <f t="shared" si="27"/>
        <v>2703</v>
      </c>
      <c r="J131">
        <f>IF(((Qmax-C131)/Tmax)&lt;((Qph-C131)/Tph),0,IF(Tecs=F131,1,0)*IF(E131=$B$1,1,0)*IF(C131&gt;=$B$2,1,0)*IF(('Tool ECS'!$C$32+1.2*pw*cw*(Tecs-Tef)*(Qmax-C131)/Tmax)&lt;G131,1,0))</f>
        <v>0</v>
      </c>
      <c r="K131" s="85" t="str">
        <f t="shared" si="24"/>
        <v>1 préparateur OB 2000</v>
      </c>
      <c r="L131" s="175">
        <v>860</v>
      </c>
      <c r="M131" s="85">
        <f t="shared" si="25"/>
        <v>86</v>
      </c>
      <c r="N131" s="85">
        <f t="shared" si="26"/>
        <v>2.7029999999999998</v>
      </c>
    </row>
    <row r="132" spans="1:23" s="85" customFormat="1" x14ac:dyDescent="0.2">
      <c r="A132" s="85">
        <f t="shared" si="23"/>
        <v>0</v>
      </c>
      <c r="B132" s="85" t="s">
        <v>344</v>
      </c>
      <c r="C132" s="85">
        <v>2500</v>
      </c>
      <c r="D132" s="85">
        <v>9</v>
      </c>
      <c r="E132" s="85">
        <v>90</v>
      </c>
      <c r="F132" s="172">
        <v>60</v>
      </c>
      <c r="G132" s="173">
        <v>156.80000000000001</v>
      </c>
      <c r="H132" s="174">
        <f t="shared" si="27"/>
        <v>2703</v>
      </c>
      <c r="J132">
        <f>IF(((Qmax-C132)/Tmax)&lt;((Qph-C132)/Tph),0,IF(Tecs=F132,1,0)*IF(E132=$B$1,1,0)*IF(C132&gt;=$B$2,1,0)*IF(('Tool ECS'!$C$32+1.2*pw*cw*(Tecs-Tef)*(Qmax-C132)/Tmax)&lt;G132,1,0))</f>
        <v>0</v>
      </c>
      <c r="K132" s="85" t="str">
        <f t="shared" si="24"/>
        <v>1 préparateur OB 2500</v>
      </c>
      <c r="L132" s="175">
        <v>860</v>
      </c>
      <c r="M132" s="85">
        <f t="shared" si="25"/>
        <v>86</v>
      </c>
      <c r="N132" s="85">
        <f t="shared" si="26"/>
        <v>2.7029999999999998</v>
      </c>
    </row>
    <row r="133" spans="1:23" x14ac:dyDescent="0.2">
      <c r="A133" s="85">
        <f t="shared" si="23"/>
        <v>0</v>
      </c>
      <c r="B133" s="9" t="s">
        <v>345</v>
      </c>
      <c r="C133" s="9">
        <v>3000</v>
      </c>
      <c r="D133" s="9">
        <f>2*D125</f>
        <v>18</v>
      </c>
      <c r="E133" s="9">
        <v>90</v>
      </c>
      <c r="F133" s="4">
        <v>60</v>
      </c>
      <c r="G133" s="32">
        <f>2*G125</f>
        <v>313.60000000000002</v>
      </c>
      <c r="H133" s="30">
        <f t="shared" si="27"/>
        <v>5407</v>
      </c>
      <c r="I133" s="9"/>
      <c r="J133">
        <f>IF(((Qmax-C133)/Tmax)&lt;((Qph-C133)/Tph),0,IF(Tecs=F133,1,0)*IF(E133=$B$1,1,0)*IF(C133&gt;=$B$2,1,0)*IF(('Tool ECS'!$C$32+1.2*pw*cw*(Tecs-Tef)*(Qmax-C133)/Tmax)&lt;G133,1,0))</f>
        <v>0</v>
      </c>
      <c r="K133" s="12" t="str">
        <f t="shared" si="24"/>
        <v>2 préparateurs OB 1500 raccordés en parallèle</v>
      </c>
      <c r="L133" s="34">
        <f>+L125</f>
        <v>860</v>
      </c>
      <c r="M133" s="9">
        <f t="shared" si="25"/>
        <v>86</v>
      </c>
      <c r="N133" s="9">
        <f t="shared" si="26"/>
        <v>5.407</v>
      </c>
    </row>
    <row r="134" spans="1:23" s="85" customFormat="1" x14ac:dyDescent="0.2">
      <c r="A134" s="85">
        <f t="shared" si="23"/>
        <v>0</v>
      </c>
      <c r="B134" s="85" t="s">
        <v>346</v>
      </c>
      <c r="C134" s="85">
        <v>3000</v>
      </c>
      <c r="D134" s="85">
        <v>9</v>
      </c>
      <c r="E134" s="85">
        <v>90</v>
      </c>
      <c r="F134" s="172">
        <v>60</v>
      </c>
      <c r="G134" s="173">
        <v>156.80000000000001</v>
      </c>
      <c r="H134" s="174">
        <f t="shared" si="27"/>
        <v>2703</v>
      </c>
      <c r="J134">
        <f>IF(((Qmax-C134)/Tmax)&lt;((Qph-C134)/Tph),0,IF(Tecs=F134,1,0)*IF(E134=$B$1,1,0)*IF(C134&gt;=$B$2,1,0)*IF(('Tool ECS'!$C$32+1.2*pw*cw*(Tecs-Tef)*(Qmax-C134)/Tmax)&lt;G134,1,0))</f>
        <v>0</v>
      </c>
      <c r="K134" s="85" t="str">
        <f t="shared" si="24"/>
        <v>1 préparateur OB 3000</v>
      </c>
      <c r="L134" s="175">
        <v>860</v>
      </c>
      <c r="M134" s="85">
        <f t="shared" si="25"/>
        <v>86</v>
      </c>
      <c r="N134" s="85">
        <f t="shared" si="26"/>
        <v>2.7029999999999998</v>
      </c>
    </row>
    <row r="135" spans="1:23" x14ac:dyDescent="0.2">
      <c r="A135" s="85">
        <f t="shared" si="23"/>
        <v>0</v>
      </c>
      <c r="B135" s="9" t="s">
        <v>347</v>
      </c>
      <c r="C135" s="9">
        <v>4000</v>
      </c>
      <c r="D135" s="9">
        <f>2*D131</f>
        <v>18</v>
      </c>
      <c r="E135" s="9">
        <v>90</v>
      </c>
      <c r="F135" s="4">
        <v>60</v>
      </c>
      <c r="G135" s="32">
        <f>2*G131</f>
        <v>313.60000000000002</v>
      </c>
      <c r="H135" s="30">
        <f t="shared" si="27"/>
        <v>5407</v>
      </c>
      <c r="I135" s="9"/>
      <c r="J135">
        <f>IF(((Qmax-C135)/Tmax)&lt;((Qph-C135)/Tph),0,IF(Tecs=F135,1,0)*IF(E135=$B$1,1,0)*IF(C135&gt;=$B$2,1,0)*IF(('Tool ECS'!$C$32+1.2*pw*cw*(Tecs-Tef)*(Qmax-C135)/Tmax)&lt;G135,1,0))</f>
        <v>0</v>
      </c>
      <c r="K135" s="12"/>
      <c r="L135" s="34">
        <v>860</v>
      </c>
      <c r="M135" s="9">
        <f t="shared" si="25"/>
        <v>86</v>
      </c>
      <c r="N135" s="9">
        <f t="shared" si="26"/>
        <v>5.407</v>
      </c>
    </row>
    <row r="136" spans="1:23" s="85" customFormat="1" x14ac:dyDescent="0.2">
      <c r="A136" s="85">
        <f t="shared" si="23"/>
        <v>0</v>
      </c>
      <c r="B136" s="85" t="s">
        <v>348</v>
      </c>
      <c r="C136" s="85">
        <v>5000</v>
      </c>
      <c r="D136" s="85">
        <f>2*D132</f>
        <v>18</v>
      </c>
      <c r="E136" s="85">
        <v>90</v>
      </c>
      <c r="F136" s="172">
        <v>60</v>
      </c>
      <c r="G136" s="173">
        <f>2*G132</f>
        <v>313.60000000000002</v>
      </c>
      <c r="H136" s="174">
        <f t="shared" si="27"/>
        <v>5407</v>
      </c>
      <c r="J136">
        <f>IF(((Qmax-C136)/Tmax)&lt;((Qph-C136)/Tph),0,IF(Tecs=F136,1,0)*IF(E136=$B$1,1,0)*IF(C136&gt;=$B$2,1,0)*IF(('Tool ECS'!$C$32+1.2*pw*cw*(Tecs-Tef)*(Qmax-C136)/Tmax)&lt;G136,1,0))</f>
        <v>0</v>
      </c>
      <c r="K136" s="85" t="str">
        <f>K99</f>
        <v>2 préparateurs OB 2500 raccordés en parallèle</v>
      </c>
      <c r="L136" s="175">
        <f>+L132</f>
        <v>860</v>
      </c>
      <c r="M136" s="85">
        <f t="shared" si="25"/>
        <v>86</v>
      </c>
      <c r="N136" s="85">
        <f t="shared" si="26"/>
        <v>5.407</v>
      </c>
    </row>
    <row r="137" spans="1:23" ht="13.5" thickBot="1" x14ac:dyDescent="0.25">
      <c r="A137" s="85">
        <f t="shared" si="23"/>
        <v>0</v>
      </c>
      <c r="B137" s="9" t="s">
        <v>349</v>
      </c>
      <c r="C137" s="9">
        <v>6000</v>
      </c>
      <c r="D137" s="9">
        <f>2*D134</f>
        <v>18</v>
      </c>
      <c r="E137" s="9">
        <v>90</v>
      </c>
      <c r="F137" s="4">
        <v>60</v>
      </c>
      <c r="G137" s="36">
        <f>2*G133</f>
        <v>627.20000000000005</v>
      </c>
      <c r="H137" s="31">
        <f t="shared" si="27"/>
        <v>10814</v>
      </c>
      <c r="I137" s="9"/>
      <c r="J137">
        <f>IF(((Qmax-C137)/Tmax)&lt;((Qph-C137)/Tph),0,IF(Tecs=F137,1,0)*IF(E137=$B$1,1,0)*IF(C137&gt;=$B$2,1,0)*IF(('Tool ECS'!$C$32+1.2*pw*cw*(Tecs-Tef)*(Qmax-C137)/Tmax)&lt;G137,1,0))</f>
        <v>0</v>
      </c>
      <c r="K137" s="12" t="str">
        <f>K100</f>
        <v>2 préparateurs OB 3000 raccordés en parallèle</v>
      </c>
      <c r="L137" s="40">
        <f>+L134</f>
        <v>860</v>
      </c>
      <c r="M137" s="9">
        <f t="shared" si="25"/>
        <v>86</v>
      </c>
      <c r="N137" s="9">
        <f t="shared" si="26"/>
        <v>10.814</v>
      </c>
    </row>
    <row r="138" spans="1:23" x14ac:dyDescent="0.2">
      <c r="A138">
        <f t="shared" si="23"/>
        <v>1</v>
      </c>
      <c r="B138" s="14" t="s">
        <v>26</v>
      </c>
      <c r="C138" s="14"/>
      <c r="D138" s="14"/>
      <c r="E138" s="14"/>
      <c r="F138" s="15"/>
      <c r="G138" s="14"/>
      <c r="H138" s="14"/>
      <c r="I138" s="14"/>
      <c r="J138" s="14">
        <v>1</v>
      </c>
      <c r="Q138" t="s">
        <v>2</v>
      </c>
      <c r="R138">
        <v>800</v>
      </c>
      <c r="T138">
        <v>90</v>
      </c>
      <c r="U138">
        <v>60</v>
      </c>
      <c r="W138" s="30">
        <f t="shared" ref="W138:W144" si="28">ROUND(V138*1000/1.16/50,0)</f>
        <v>0</v>
      </c>
    </row>
    <row r="139" spans="1:23" x14ac:dyDescent="0.2">
      <c r="Q139" t="s">
        <v>0</v>
      </c>
      <c r="R139">
        <v>1000</v>
      </c>
      <c r="T139">
        <v>70</v>
      </c>
      <c r="U139">
        <v>60</v>
      </c>
      <c r="W139" s="30">
        <f t="shared" si="28"/>
        <v>0</v>
      </c>
    </row>
    <row r="140" spans="1:23" x14ac:dyDescent="0.2">
      <c r="Q140" t="s">
        <v>0</v>
      </c>
      <c r="R140">
        <v>1000</v>
      </c>
      <c r="T140">
        <v>80</v>
      </c>
      <c r="U140">
        <v>60</v>
      </c>
      <c r="W140" s="30">
        <f t="shared" si="28"/>
        <v>0</v>
      </c>
    </row>
    <row r="141" spans="1:23" x14ac:dyDescent="0.2">
      <c r="Q141" t="s">
        <v>0</v>
      </c>
      <c r="R141">
        <v>1000</v>
      </c>
      <c r="T141">
        <v>90</v>
      </c>
      <c r="U141">
        <v>60</v>
      </c>
      <c r="W141" s="30">
        <f t="shared" si="28"/>
        <v>0</v>
      </c>
    </row>
    <row r="142" spans="1:23" x14ac:dyDescent="0.2">
      <c r="Q142" t="s">
        <v>3</v>
      </c>
      <c r="T142">
        <v>70</v>
      </c>
      <c r="U142">
        <v>60</v>
      </c>
      <c r="W142" s="30">
        <f t="shared" si="28"/>
        <v>0</v>
      </c>
    </row>
    <row r="143" spans="1:23" x14ac:dyDescent="0.2">
      <c r="Q143" t="s">
        <v>3</v>
      </c>
      <c r="T143">
        <v>80</v>
      </c>
      <c r="U143">
        <v>60</v>
      </c>
      <c r="W143" s="30">
        <f t="shared" si="28"/>
        <v>0</v>
      </c>
    </row>
    <row r="144" spans="1:23" x14ac:dyDescent="0.2">
      <c r="Q144" t="s">
        <v>3</v>
      </c>
      <c r="T144">
        <v>90</v>
      </c>
      <c r="U144">
        <v>60</v>
      </c>
      <c r="W144" s="30">
        <f t="shared" si="28"/>
        <v>0</v>
      </c>
    </row>
    <row r="145" spans="8:8" ht="32.25" customHeight="1" x14ac:dyDescent="0.2">
      <c r="H145" s="37"/>
    </row>
  </sheetData>
  <phoneticPr fontId="0" type="noConversion"/>
  <dataValidations disablePrompts="1" count="1">
    <dataValidation type="list" allowBlank="1" showInputMessage="1" showErrorMessage="1" sqref="C25">
      <formula1>"90,80,70,60"</formula1>
    </dataValidation>
  </dataValidations>
  <pageMargins left="0.78740157499999996" right="0.78740157499999996" top="0.56999999999999995" bottom="0.89" header="0.48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autoPageBreaks="0"/>
  </sheetPr>
  <dimension ref="A1:W145"/>
  <sheetViews>
    <sheetView topLeftCell="A67" zoomScaleNormal="100" workbookViewId="0">
      <selection activeCell="K64" sqref="K64"/>
    </sheetView>
  </sheetViews>
  <sheetFormatPr baseColWidth="10" defaultRowHeight="12.75" x14ac:dyDescent="0.2"/>
  <cols>
    <col min="2" max="2" width="14.140625" customWidth="1"/>
    <col min="7" max="7" width="13.140625" customWidth="1"/>
    <col min="9" max="9" width="18.42578125" bestFit="1" customWidth="1"/>
    <col min="11" max="11" width="48.42578125" customWidth="1"/>
    <col min="12" max="15" width="26.5703125" customWidth="1"/>
    <col min="17" max="17" width="20" customWidth="1"/>
  </cols>
  <sheetData>
    <row r="1" spans="1:13" x14ac:dyDescent="0.2">
      <c r="A1" t="s">
        <v>8</v>
      </c>
      <c r="B1" s="2">
        <f>Tprimaire</f>
        <v>70</v>
      </c>
      <c r="C1" t="s">
        <v>7</v>
      </c>
      <c r="F1" s="3"/>
      <c r="M1" t="s">
        <v>26</v>
      </c>
    </row>
    <row r="2" spans="1:13" x14ac:dyDescent="0.2">
      <c r="A2" t="s">
        <v>9</v>
      </c>
      <c r="B2" s="2">
        <f>IF(OR('Tool ECS'!J84&lt;Qmax+50,'Tool ECS'!J64&gt;Qph),Qmax+50,'Tool ECS'!J84)</f>
        <v>491.3195425345437</v>
      </c>
      <c r="C2" t="s">
        <v>10</v>
      </c>
      <c r="F2" s="3"/>
    </row>
    <row r="3" spans="1:13" x14ac:dyDescent="0.2">
      <c r="A3" t="s">
        <v>11</v>
      </c>
      <c r="B3" s="2">
        <f>pw*cw*(Tecs-Tef)*(Qph-B2)/Tph+pw*cw*(Tecs-Tef)*B2/7</f>
        <v>50.670598520112407</v>
      </c>
      <c r="C3" t="s">
        <v>5</v>
      </c>
      <c r="F3" s="3"/>
    </row>
    <row r="4" spans="1:13" x14ac:dyDescent="0.2">
      <c r="F4" s="3"/>
    </row>
    <row r="5" spans="1:13" x14ac:dyDescent="0.2">
      <c r="B5" s="4" t="s">
        <v>12</v>
      </c>
      <c r="C5" s="4" t="s">
        <v>9</v>
      </c>
      <c r="D5" s="5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31</v>
      </c>
      <c r="J5" s="4" t="s">
        <v>28</v>
      </c>
      <c r="K5" s="18" t="s">
        <v>1</v>
      </c>
      <c r="L5" s="4" t="s">
        <v>34</v>
      </c>
    </row>
    <row r="6" spans="1:13" x14ac:dyDescent="0.2">
      <c r="B6" s="4" t="s">
        <v>18</v>
      </c>
      <c r="C6" s="4" t="s">
        <v>10</v>
      </c>
      <c r="D6" s="4" t="s">
        <v>6</v>
      </c>
      <c r="E6" s="4" t="s">
        <v>5</v>
      </c>
      <c r="F6" s="4" t="s">
        <v>6</v>
      </c>
      <c r="G6" s="4" t="s">
        <v>19</v>
      </c>
      <c r="H6" s="4" t="s">
        <v>7</v>
      </c>
      <c r="I6" s="4"/>
      <c r="J6" s="4" t="s">
        <v>32</v>
      </c>
      <c r="K6" s="4" t="s">
        <v>19</v>
      </c>
      <c r="L6" s="4" t="s">
        <v>35</v>
      </c>
    </row>
    <row r="7" spans="1:13" x14ac:dyDescent="0.2">
      <c r="B7" s="93" t="s">
        <v>156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">
      <c r="A8">
        <v>1</v>
      </c>
      <c r="B8" s="1" t="str">
        <f>IF(ISNA(VLOOKUP($A8,Solutions_ECS,2,FALSE))=TRUE,"Hors Gamme",VLOOKUP($A8,Solutions_ECS,2,FALSE))</f>
        <v>2 - OBPB 300</v>
      </c>
      <c r="C8" s="3">
        <f>IF(ISNA(VLOOKUP($A8,Solutions_ECS,3,FALSE))=TRUE,0,VLOOKUP($A8,Solutions_ECS,3,FALSE))</f>
        <v>580</v>
      </c>
      <c r="D8" s="6">
        <f>IF(C8=0,"-",(C8-$B$2)/C8)</f>
        <v>0.15289734045768327</v>
      </c>
      <c r="E8" s="7">
        <f t="shared" ref="E8:E22" si="0">IF(ISNA(VLOOKUP($A8,Solutions_ECS,7,FALSE))=TRUE,0,VLOOKUP($A8,Solutions_ECS,7,FALSE))</f>
        <v>57.2</v>
      </c>
      <c r="F8" s="6">
        <f>IF(E8=0,"-",(E8-$B$3)/E8)</f>
        <v>0.11415037552251042</v>
      </c>
      <c r="G8" s="8">
        <f t="shared" ref="G8:G22" si="1">IF(ISNA(VLOOKUP($A8,Solutions_ECS,4,FALSE))=TRUE,0,VLOOKUP($A8,Solutions_ECS,4,FALSE))</f>
        <v>6</v>
      </c>
      <c r="H8" s="3" t="str">
        <f>CONCATENATE($B$1,"°C - ",INT(($B$1-IF(G8=0,0,E8/(1.163*G8)))),"°C")</f>
        <v>70°C - 61°C</v>
      </c>
      <c r="I8" s="16" t="str">
        <f t="shared" ref="I8:I22" si="2">IF(ISNA(VLOOKUP($A8,$A$26:$K$137,11,FALSE)),0,VLOOKUP($A8,$A$26:$K$137,11,FALSE))</f>
        <v>2 préparateurs OBPB 300 raccordés en parallèle</v>
      </c>
      <c r="J8" s="17">
        <f t="shared" ref="J8:J22" si="3">IF(ISNA(VLOOKUP($A8,$A$26:$M$131,13,FALSE))=TRUE,0,VLOOKUP($A8,$A$26:$M$131,13,FALSE))</f>
        <v>17</v>
      </c>
      <c r="K8" s="19">
        <f t="shared" ref="K8:K22" si="4">IF(ISNA(VLOOKUP($A8,$A$26:$N$131,14,FALSE))=TRUE,0,VLOOKUP($A8,$A$26:$N$131,14,FALSE))</f>
        <v>0.98599999999999999</v>
      </c>
      <c r="L8" s="20">
        <f t="shared" ref="L8:L22" si="5">IF(ISNA(VLOOKUP($A8,$A$26:$N$131,9,FALSE))=TRUE,0,VLOOKUP($A8,$A$26:$N$131,9,FALSE))</f>
        <v>0</v>
      </c>
    </row>
    <row r="9" spans="1:13" x14ac:dyDescent="0.2">
      <c r="A9">
        <v>2</v>
      </c>
      <c r="B9" s="1" t="str">
        <f t="shared" ref="B9:B22" si="6">IF(ISNA(VLOOKUP($A9,Solutions_ECS,2,FALSE))=TRUE,"Hors Gamme",VLOOKUP($A9,Solutions_ECS,2,FALSE))</f>
        <v>OB 650</v>
      </c>
      <c r="C9" s="3">
        <f t="shared" ref="C9:C22" si="7">IF(ISNA(VLOOKUP($A9,Solutions_ECS,3,FALSE))=TRUE,0,VLOOKUP($A9,Solutions_ECS,3,FALSE))</f>
        <v>650</v>
      </c>
      <c r="D9" s="6">
        <f t="shared" ref="D9:D22" si="8">IF(C9=0,"-",(C9-$B$2)/C9)</f>
        <v>0.24412378071608662</v>
      </c>
      <c r="E9" s="7">
        <f t="shared" si="0"/>
        <v>64.599999999999994</v>
      </c>
      <c r="F9" s="6">
        <f t="shared" ref="F9:F22" si="9">IF(E9=0,"-",(E9-$B$3)/E9)</f>
        <v>0.21562540990538062</v>
      </c>
      <c r="G9" s="8">
        <f t="shared" si="1"/>
        <v>3.7</v>
      </c>
      <c r="H9" s="3" t="str">
        <f t="shared" ref="H9:H22" si="10">CONCATENATE($B$1,"°C - ",INT(($B$1-IF(G9=0,0,E9/(1.163*G9)))),"°C")</f>
        <v>70°C - 54°C</v>
      </c>
      <c r="I9" s="16" t="str">
        <f t="shared" si="2"/>
        <v>1 préparateur OB 650</v>
      </c>
      <c r="J9" s="17">
        <f t="shared" si="3"/>
        <v>12</v>
      </c>
      <c r="K9" s="19">
        <f t="shared" si="4"/>
        <v>1.1140000000000001</v>
      </c>
      <c r="L9" s="20">
        <f t="shared" si="5"/>
        <v>0</v>
      </c>
    </row>
    <row r="10" spans="1:13" x14ac:dyDescent="0.2">
      <c r="A10">
        <v>3</v>
      </c>
      <c r="B10" s="1" t="str">
        <f t="shared" si="6"/>
        <v>OB 800</v>
      </c>
      <c r="C10" s="3">
        <f t="shared" si="7"/>
        <v>780</v>
      </c>
      <c r="D10" s="6">
        <f t="shared" si="8"/>
        <v>0.37010315059673887</v>
      </c>
      <c r="E10" s="7">
        <f t="shared" si="0"/>
        <v>64.599999999999994</v>
      </c>
      <c r="F10" s="6">
        <f t="shared" si="9"/>
        <v>0.21562540990538062</v>
      </c>
      <c r="G10" s="8">
        <f t="shared" si="1"/>
        <v>3.7</v>
      </c>
      <c r="H10" s="3" t="str">
        <f t="shared" si="10"/>
        <v>70°C - 54°C</v>
      </c>
      <c r="I10" s="16" t="str">
        <f t="shared" si="2"/>
        <v>1 préparateur OB 800</v>
      </c>
      <c r="J10" s="17">
        <f t="shared" si="3"/>
        <v>12</v>
      </c>
      <c r="K10" s="19">
        <f t="shared" si="4"/>
        <v>1.1140000000000001</v>
      </c>
      <c r="L10" s="20">
        <f t="shared" si="5"/>
        <v>0</v>
      </c>
    </row>
    <row r="11" spans="1:13" x14ac:dyDescent="0.2">
      <c r="A11">
        <v>4</v>
      </c>
      <c r="B11" s="1" t="str">
        <f t="shared" si="6"/>
        <v>2 - OBLC 400</v>
      </c>
      <c r="C11" s="3">
        <f t="shared" si="7"/>
        <v>780</v>
      </c>
      <c r="D11" s="6">
        <f t="shared" si="8"/>
        <v>0.37010315059673887</v>
      </c>
      <c r="E11" s="7">
        <f t="shared" si="0"/>
        <v>59.4</v>
      </c>
      <c r="F11" s="6">
        <f t="shared" si="9"/>
        <v>0.14695962087352848</v>
      </c>
      <c r="G11" s="8">
        <f t="shared" si="1"/>
        <v>6</v>
      </c>
      <c r="H11" s="3" t="str">
        <f t="shared" si="10"/>
        <v>70°C - 61°C</v>
      </c>
      <c r="I11" s="16" t="str">
        <f t="shared" si="2"/>
        <v>2 préparateurs OBLC 400 raccordés en parallèle</v>
      </c>
      <c r="J11" s="17">
        <f t="shared" si="3"/>
        <v>17</v>
      </c>
      <c r="K11" s="19">
        <f t="shared" si="4"/>
        <v>1.024</v>
      </c>
      <c r="L11" s="20">
        <f t="shared" si="5"/>
        <v>0</v>
      </c>
    </row>
    <row r="12" spans="1:13" x14ac:dyDescent="0.2">
      <c r="A12">
        <v>5</v>
      </c>
      <c r="B12" s="1" t="str">
        <f t="shared" si="6"/>
        <v>2 - OBPB 400</v>
      </c>
      <c r="C12" s="3">
        <f t="shared" si="7"/>
        <v>770</v>
      </c>
      <c r="D12" s="6">
        <f t="shared" si="8"/>
        <v>0.36192267203306011</v>
      </c>
      <c r="E12" s="7">
        <f t="shared" si="0"/>
        <v>72</v>
      </c>
      <c r="F12" s="6">
        <f t="shared" si="9"/>
        <v>0.29624168722066102</v>
      </c>
      <c r="G12" s="8">
        <f t="shared" si="1"/>
        <v>6</v>
      </c>
      <c r="H12" s="3" t="str">
        <f t="shared" si="10"/>
        <v>70°C - 59°C</v>
      </c>
      <c r="I12" s="16" t="str">
        <f t="shared" si="2"/>
        <v>2 préparateurs OBPB 400 raccordés en parallèle</v>
      </c>
      <c r="J12" s="17">
        <f t="shared" si="3"/>
        <v>20</v>
      </c>
      <c r="K12" s="19">
        <f t="shared" si="4"/>
        <v>1.2410000000000001</v>
      </c>
      <c r="L12" s="20">
        <f t="shared" si="5"/>
        <v>0</v>
      </c>
    </row>
    <row r="13" spans="1:13" x14ac:dyDescent="0.2">
      <c r="A13">
        <v>6</v>
      </c>
      <c r="B13" s="1" t="str">
        <f t="shared" si="6"/>
        <v>2 - OBLC 500</v>
      </c>
      <c r="C13" s="3">
        <f t="shared" si="7"/>
        <v>990</v>
      </c>
      <c r="D13" s="6">
        <f t="shared" si="8"/>
        <v>0.50371763380349122</v>
      </c>
      <c r="E13" s="7">
        <f t="shared" si="0"/>
        <v>62.099999999999994</v>
      </c>
      <c r="F13" s="6">
        <f t="shared" si="9"/>
        <v>0.18404833300946197</v>
      </c>
      <c r="G13" s="8">
        <f t="shared" si="1"/>
        <v>9</v>
      </c>
      <c r="H13" s="3" t="str">
        <f t="shared" si="10"/>
        <v>70°C - 64°C</v>
      </c>
      <c r="I13" s="16" t="str">
        <f t="shared" si="2"/>
        <v>3 préparateurs OBLC 300 raccordés en parallèle</v>
      </c>
      <c r="J13" s="17">
        <f t="shared" si="3"/>
        <v>13</v>
      </c>
      <c r="K13" s="19">
        <f t="shared" si="4"/>
        <v>1.071</v>
      </c>
      <c r="L13" s="20">
        <f t="shared" si="5"/>
        <v>0</v>
      </c>
    </row>
    <row r="14" spans="1:13" x14ac:dyDescent="0.2">
      <c r="A14">
        <v>7</v>
      </c>
      <c r="B14" s="1" t="str">
        <f t="shared" si="6"/>
        <v>3 - OBPB 300</v>
      </c>
      <c r="C14" s="3">
        <f t="shared" si="7"/>
        <v>870</v>
      </c>
      <c r="D14" s="6">
        <f t="shared" si="8"/>
        <v>0.4352648936384555</v>
      </c>
      <c r="E14" s="7">
        <f t="shared" si="0"/>
        <v>85.800000000000011</v>
      </c>
      <c r="F14" s="6">
        <f t="shared" si="9"/>
        <v>0.40943358368167365</v>
      </c>
      <c r="G14" s="8">
        <f t="shared" si="1"/>
        <v>9</v>
      </c>
      <c r="H14" s="3" t="str">
        <f t="shared" si="10"/>
        <v>70°C - 61°C</v>
      </c>
      <c r="I14" s="16" t="str">
        <f t="shared" si="2"/>
        <v>3 préparateurs OBPB 300 raccordés en parallèle</v>
      </c>
      <c r="J14" s="17">
        <f t="shared" si="3"/>
        <v>17</v>
      </c>
      <c r="K14" s="19">
        <f t="shared" si="4"/>
        <v>1.4790000000000001</v>
      </c>
      <c r="L14" s="20">
        <f t="shared" si="5"/>
        <v>0</v>
      </c>
    </row>
    <row r="15" spans="1:13" x14ac:dyDescent="0.2">
      <c r="A15">
        <v>8</v>
      </c>
      <c r="B15" s="1" t="str">
        <f t="shared" si="6"/>
        <v>OB 1000</v>
      </c>
      <c r="C15" s="3">
        <f t="shared" si="7"/>
        <v>980</v>
      </c>
      <c r="D15" s="6">
        <f t="shared" si="8"/>
        <v>0.49865352802597579</v>
      </c>
      <c r="E15" s="7">
        <f t="shared" si="0"/>
        <v>71.099999999999994</v>
      </c>
      <c r="F15" s="6">
        <f t="shared" si="9"/>
        <v>0.28733335414750477</v>
      </c>
      <c r="G15" s="8">
        <f t="shared" si="1"/>
        <v>4.0999999999999996</v>
      </c>
      <c r="H15" s="3" t="str">
        <f t="shared" si="10"/>
        <v>70°C - 55°C</v>
      </c>
      <c r="I15" s="16" t="str">
        <f t="shared" si="2"/>
        <v>1 préparateur OB 1000</v>
      </c>
      <c r="J15" s="17">
        <f t="shared" si="3"/>
        <v>16</v>
      </c>
      <c r="K15" s="19">
        <f t="shared" si="4"/>
        <v>1.226</v>
      </c>
      <c r="L15" s="20">
        <f t="shared" si="5"/>
        <v>0</v>
      </c>
    </row>
    <row r="16" spans="1:13" x14ac:dyDescent="0.2">
      <c r="A16">
        <v>9</v>
      </c>
      <c r="B16" s="1" t="str">
        <f t="shared" si="6"/>
        <v>2 - OBLC 500</v>
      </c>
      <c r="C16" s="3">
        <f t="shared" si="7"/>
        <v>990</v>
      </c>
      <c r="D16" s="6">
        <f t="shared" si="8"/>
        <v>0.50371763380349122</v>
      </c>
      <c r="E16" s="7">
        <f t="shared" si="0"/>
        <v>70</v>
      </c>
      <c r="F16" s="6">
        <f t="shared" si="9"/>
        <v>0.27613430685553703</v>
      </c>
      <c r="G16" s="8">
        <f t="shared" si="1"/>
        <v>6</v>
      </c>
      <c r="H16" s="3" t="str">
        <f t="shared" si="10"/>
        <v>70°C - 59°C</v>
      </c>
      <c r="I16" s="16" t="str">
        <f t="shared" si="2"/>
        <v>2 préparateurs OBLC 500 raccordés en parallèle</v>
      </c>
      <c r="J16" s="17">
        <f t="shared" si="3"/>
        <v>20</v>
      </c>
      <c r="K16" s="19">
        <f t="shared" si="4"/>
        <v>1.2070000000000001</v>
      </c>
      <c r="L16" s="20">
        <f t="shared" si="5"/>
        <v>0</v>
      </c>
    </row>
    <row r="17" spans="1:17" x14ac:dyDescent="0.2">
      <c r="A17">
        <v>10</v>
      </c>
      <c r="B17" s="1" t="str">
        <f t="shared" si="6"/>
        <v>2 - OBPB 500</v>
      </c>
      <c r="C17" s="3">
        <f t="shared" si="7"/>
        <v>970</v>
      </c>
      <c r="D17" s="6">
        <f t="shared" si="8"/>
        <v>0.49348500769634668</v>
      </c>
      <c r="E17" s="7">
        <f t="shared" si="0"/>
        <v>91.2</v>
      </c>
      <c r="F17" s="6">
        <f t="shared" si="9"/>
        <v>0.44440133201631132</v>
      </c>
      <c r="G17" s="8">
        <f t="shared" si="1"/>
        <v>6</v>
      </c>
      <c r="H17" s="3" t="str">
        <f t="shared" si="10"/>
        <v>70°C - 56°C</v>
      </c>
      <c r="I17" s="16" t="str">
        <f t="shared" si="2"/>
        <v>2 préparateurs OBPB 500 raccordés en parallèle</v>
      </c>
      <c r="J17" s="17">
        <f t="shared" si="3"/>
        <v>26</v>
      </c>
      <c r="K17" s="19">
        <f t="shared" si="4"/>
        <v>1.5720000000000001</v>
      </c>
      <c r="L17" s="20">
        <f t="shared" si="5"/>
        <v>0</v>
      </c>
    </row>
    <row r="18" spans="1:17" x14ac:dyDescent="0.2">
      <c r="A18">
        <v>11</v>
      </c>
      <c r="B18" s="1" t="str">
        <f t="shared" si="6"/>
        <v>3 - OBLC 400</v>
      </c>
      <c r="C18" s="3">
        <f t="shared" si="7"/>
        <v>1170</v>
      </c>
      <c r="D18" s="6">
        <f t="shared" si="8"/>
        <v>0.58006876706449262</v>
      </c>
      <c r="E18" s="7">
        <f t="shared" si="0"/>
        <v>89.1</v>
      </c>
      <c r="F18" s="6">
        <f t="shared" si="9"/>
        <v>0.43130641391568564</v>
      </c>
      <c r="G18" s="8">
        <f t="shared" si="1"/>
        <v>9</v>
      </c>
      <c r="H18" s="3" t="str">
        <f t="shared" si="10"/>
        <v>70°C - 61°C</v>
      </c>
      <c r="I18" s="16" t="str">
        <f t="shared" si="2"/>
        <v>3 préparateurs OBLC 400 raccordés en parallèle</v>
      </c>
      <c r="J18" s="17">
        <f t="shared" si="3"/>
        <v>17</v>
      </c>
      <c r="K18" s="19">
        <f t="shared" si="4"/>
        <v>1.536</v>
      </c>
      <c r="L18" s="20">
        <f t="shared" si="5"/>
        <v>0</v>
      </c>
    </row>
    <row r="19" spans="1:17" x14ac:dyDescent="0.2">
      <c r="A19">
        <v>12</v>
      </c>
      <c r="B19" s="1" t="str">
        <f t="shared" si="6"/>
        <v>3 - OBPB 400</v>
      </c>
      <c r="C19" s="3">
        <f t="shared" si="7"/>
        <v>1155</v>
      </c>
      <c r="D19" s="6">
        <f t="shared" si="8"/>
        <v>0.57461511468870685</v>
      </c>
      <c r="E19" s="7">
        <f t="shared" si="0"/>
        <v>108</v>
      </c>
      <c r="F19" s="6">
        <f t="shared" si="9"/>
        <v>0.53082779148044068</v>
      </c>
      <c r="G19" s="8">
        <f t="shared" si="1"/>
        <v>9</v>
      </c>
      <c r="H19" s="3" t="str">
        <f t="shared" si="10"/>
        <v>70°C - 59°C</v>
      </c>
      <c r="I19" s="16" t="str">
        <f t="shared" si="2"/>
        <v>3 préparateurs OBPB 400 raccordés en parallèle</v>
      </c>
      <c r="J19" s="17">
        <f t="shared" si="3"/>
        <v>20</v>
      </c>
      <c r="K19" s="19">
        <f t="shared" si="4"/>
        <v>1.8620000000000001</v>
      </c>
      <c r="L19" s="20">
        <f t="shared" si="5"/>
        <v>0</v>
      </c>
    </row>
    <row r="20" spans="1:17" x14ac:dyDescent="0.2">
      <c r="A20">
        <v>13</v>
      </c>
      <c r="B20" s="1" t="str">
        <f t="shared" si="6"/>
        <v>2 - OB 650</v>
      </c>
      <c r="C20" s="3">
        <f t="shared" si="7"/>
        <v>1300</v>
      </c>
      <c r="D20" s="6">
        <f t="shared" si="8"/>
        <v>0.62206189035804338</v>
      </c>
      <c r="E20" s="7">
        <f t="shared" si="0"/>
        <v>129.19999999999999</v>
      </c>
      <c r="F20" s="6">
        <f t="shared" si="9"/>
        <v>0.60781270495269035</v>
      </c>
      <c r="G20" s="8">
        <f t="shared" si="1"/>
        <v>7.4</v>
      </c>
      <c r="H20" s="3" t="str">
        <f t="shared" si="10"/>
        <v>70°C - 54°C</v>
      </c>
      <c r="I20" s="16" t="str">
        <f t="shared" si="2"/>
        <v>2 préparateurs OB 650</v>
      </c>
      <c r="J20" s="17">
        <f t="shared" si="3"/>
        <v>12</v>
      </c>
      <c r="K20" s="19">
        <f t="shared" si="4"/>
        <v>2.2280000000000002</v>
      </c>
      <c r="L20" s="20">
        <f t="shared" si="5"/>
        <v>0</v>
      </c>
    </row>
    <row r="21" spans="1:17" x14ac:dyDescent="0.2">
      <c r="A21">
        <v>14</v>
      </c>
      <c r="B21" s="1" t="str">
        <f t="shared" si="6"/>
        <v>OB 1500</v>
      </c>
      <c r="C21" s="3">
        <f t="shared" si="7"/>
        <v>1500</v>
      </c>
      <c r="D21" s="6">
        <f t="shared" si="8"/>
        <v>0.67245363831030425</v>
      </c>
      <c r="E21" s="7">
        <f t="shared" si="0"/>
        <v>88.8</v>
      </c>
      <c r="F21" s="6">
        <f t="shared" si="9"/>
        <v>0.42938515180053594</v>
      </c>
      <c r="G21" s="8">
        <f t="shared" si="1"/>
        <v>5.0999999999999996</v>
      </c>
      <c r="H21" s="3" t="str">
        <f t="shared" si="10"/>
        <v>70°C - 55°C</v>
      </c>
      <c r="I21" s="16" t="str">
        <f t="shared" si="2"/>
        <v>1 préparateur OB 1500</v>
      </c>
      <c r="J21" s="17">
        <f t="shared" si="3"/>
        <v>31</v>
      </c>
      <c r="K21" s="19">
        <f t="shared" si="4"/>
        <v>1.5309999999999999</v>
      </c>
      <c r="L21" s="20">
        <f t="shared" si="5"/>
        <v>0</v>
      </c>
    </row>
    <row r="22" spans="1:17" x14ac:dyDescent="0.2">
      <c r="A22">
        <v>15</v>
      </c>
      <c r="B22" s="1" t="str">
        <f t="shared" si="6"/>
        <v>3 - OBLC 500</v>
      </c>
      <c r="C22" s="3">
        <f t="shared" si="7"/>
        <v>1485</v>
      </c>
      <c r="D22" s="6">
        <f t="shared" si="8"/>
        <v>0.66914508920232751</v>
      </c>
      <c r="E22" s="7">
        <f t="shared" si="0"/>
        <v>105</v>
      </c>
      <c r="F22" s="6">
        <f t="shared" si="9"/>
        <v>0.51742287123702468</v>
      </c>
      <c r="G22" s="8">
        <f t="shared" si="1"/>
        <v>9</v>
      </c>
      <c r="H22" s="3" t="str">
        <f t="shared" si="10"/>
        <v>70°C - 59°C</v>
      </c>
      <c r="I22" s="16" t="str">
        <f t="shared" si="2"/>
        <v>3 préparateurs OBLC 500 raccordés en parallèle</v>
      </c>
      <c r="J22" s="17">
        <f t="shared" si="3"/>
        <v>20</v>
      </c>
      <c r="K22" s="19">
        <f t="shared" si="4"/>
        <v>1.81</v>
      </c>
      <c r="L22" s="20">
        <f t="shared" si="5"/>
        <v>0</v>
      </c>
    </row>
    <row r="23" spans="1:17" x14ac:dyDescent="0.2">
      <c r="F23" s="3"/>
    </row>
    <row r="24" spans="1:17" x14ac:dyDescent="0.2">
      <c r="F24" s="3"/>
    </row>
    <row r="25" spans="1:17" x14ac:dyDescent="0.2">
      <c r="F25" s="3"/>
    </row>
    <row r="26" spans="1:17" ht="13.5" thickBot="1" x14ac:dyDescent="0.25">
      <c r="A26" s="9" t="s">
        <v>12</v>
      </c>
      <c r="B26" s="9" t="s">
        <v>20</v>
      </c>
      <c r="C26" s="9" t="s">
        <v>9</v>
      </c>
      <c r="D26" s="9" t="s">
        <v>21</v>
      </c>
      <c r="E26" s="9" t="s">
        <v>22</v>
      </c>
      <c r="F26" s="4" t="s">
        <v>23</v>
      </c>
      <c r="G26" s="9" t="s">
        <v>24</v>
      </c>
      <c r="H26" s="9" t="s">
        <v>29</v>
      </c>
      <c r="I26" s="9" t="s">
        <v>25</v>
      </c>
      <c r="J26" s="9" t="s">
        <v>4</v>
      </c>
      <c r="K26" s="9" t="s">
        <v>31</v>
      </c>
      <c r="L26" s="9" t="s">
        <v>27</v>
      </c>
      <c r="M26" s="9" t="s">
        <v>30</v>
      </c>
      <c r="N26" s="9" t="s">
        <v>33</v>
      </c>
    </row>
    <row r="27" spans="1:17" x14ac:dyDescent="0.2">
      <c r="A27">
        <f>J27</f>
        <v>0</v>
      </c>
      <c r="B27" s="38" t="s">
        <v>320</v>
      </c>
      <c r="C27" s="10">
        <v>145</v>
      </c>
      <c r="D27" s="10">
        <v>3</v>
      </c>
      <c r="E27" s="10">
        <v>70</v>
      </c>
      <c r="F27" s="11">
        <v>60</v>
      </c>
      <c r="G27" s="27">
        <v>13.8</v>
      </c>
      <c r="H27" s="28">
        <f t="shared" ref="H27:H90" si="11">ROUND(G27*1000/1.16/50,0)</f>
        <v>238</v>
      </c>
      <c r="I27" s="10"/>
      <c r="J27">
        <f t="shared" ref="J27:J58" si="12">IF(Tecs=F27,1,0)*IF(E27=$B$1,1,0)*IF(C27&gt;=$B$2,1,0)*IF(G27&gt;=$B$3,1,0)</f>
        <v>0</v>
      </c>
      <c r="K27" s="10" t="str">
        <f>CONCATENATE("1 préparateur ",B27)</f>
        <v>1 préparateur OBLC 150</v>
      </c>
      <c r="L27" s="35">
        <v>110</v>
      </c>
      <c r="M27" s="10">
        <f t="shared" ref="M27:M90" si="13">L27/10</f>
        <v>11</v>
      </c>
      <c r="N27" s="10">
        <f>H27/1000</f>
        <v>0.23799999999999999</v>
      </c>
      <c r="P27" s="22"/>
      <c r="Q27" s="25"/>
    </row>
    <row r="28" spans="1:17" x14ac:dyDescent="0.2">
      <c r="A28">
        <f t="shared" ref="A28:A91" si="14">J28+A27</f>
        <v>0</v>
      </c>
      <c r="B28" s="10" t="s">
        <v>327</v>
      </c>
      <c r="C28" s="10">
        <v>145</v>
      </c>
      <c r="D28" s="10">
        <v>3</v>
      </c>
      <c r="E28" s="10">
        <v>70</v>
      </c>
      <c r="F28" s="11">
        <v>60</v>
      </c>
      <c r="G28" s="29">
        <v>15.4</v>
      </c>
      <c r="H28" s="30">
        <f t="shared" si="11"/>
        <v>266</v>
      </c>
      <c r="I28" s="10"/>
      <c r="J28">
        <f t="shared" si="12"/>
        <v>0</v>
      </c>
      <c r="K28" s="10" t="str">
        <f t="shared" ref="K28:K36" si="15">CONCATENATE("1 préparateur ",B28)</f>
        <v>1 préparateur OBPB 150</v>
      </c>
      <c r="L28" s="34">
        <v>120</v>
      </c>
      <c r="M28" s="10">
        <f t="shared" si="13"/>
        <v>12</v>
      </c>
      <c r="N28" s="10">
        <f t="shared" ref="N28:N86" si="16">H28/1000</f>
        <v>0.26600000000000001</v>
      </c>
      <c r="P28" s="22"/>
      <c r="Q28" s="25"/>
    </row>
    <row r="29" spans="1:17" x14ac:dyDescent="0.2">
      <c r="A29">
        <f t="shared" si="14"/>
        <v>0</v>
      </c>
      <c r="B29" s="10" t="s">
        <v>321</v>
      </c>
      <c r="C29" s="10">
        <v>195</v>
      </c>
      <c r="D29" s="10">
        <v>3</v>
      </c>
      <c r="E29" s="10">
        <v>70</v>
      </c>
      <c r="F29" s="11">
        <v>60</v>
      </c>
      <c r="G29" s="29">
        <v>17.5</v>
      </c>
      <c r="H29" s="30">
        <f t="shared" si="11"/>
        <v>302</v>
      </c>
      <c r="I29" s="10"/>
      <c r="J29">
        <f t="shared" si="12"/>
        <v>0</v>
      </c>
      <c r="K29" s="10" t="str">
        <f t="shared" si="15"/>
        <v>1 préparateur OBLC 200</v>
      </c>
      <c r="L29" s="34">
        <v>120</v>
      </c>
      <c r="M29" s="10">
        <f t="shared" si="13"/>
        <v>12</v>
      </c>
      <c r="N29" s="10">
        <f t="shared" si="16"/>
        <v>0.30199999999999999</v>
      </c>
      <c r="P29" s="22"/>
      <c r="Q29" s="25"/>
    </row>
    <row r="30" spans="1:17" x14ac:dyDescent="0.2">
      <c r="A30">
        <f t="shared" si="14"/>
        <v>0</v>
      </c>
      <c r="B30" s="10" t="s">
        <v>328</v>
      </c>
      <c r="C30" s="10">
        <v>195</v>
      </c>
      <c r="D30" s="10">
        <v>3</v>
      </c>
      <c r="E30" s="10">
        <v>70</v>
      </c>
      <c r="F30" s="11">
        <v>60</v>
      </c>
      <c r="G30" s="29">
        <v>20.7</v>
      </c>
      <c r="H30" s="30">
        <f t="shared" si="11"/>
        <v>357</v>
      </c>
      <c r="I30" s="10"/>
      <c r="J30">
        <f t="shared" si="12"/>
        <v>0</v>
      </c>
      <c r="K30" s="10" t="str">
        <f t="shared" si="15"/>
        <v>1 préparateur OBPB 200</v>
      </c>
      <c r="L30" s="34">
        <v>140</v>
      </c>
      <c r="M30" s="10">
        <f t="shared" si="13"/>
        <v>14</v>
      </c>
      <c r="N30" s="10">
        <f t="shared" si="16"/>
        <v>0.35699999999999998</v>
      </c>
      <c r="P30" s="22"/>
      <c r="Q30" s="25"/>
    </row>
    <row r="31" spans="1:17" x14ac:dyDescent="0.2">
      <c r="A31">
        <f t="shared" si="14"/>
        <v>0</v>
      </c>
      <c r="B31" s="10" t="s">
        <v>322</v>
      </c>
      <c r="C31" s="10">
        <v>295</v>
      </c>
      <c r="D31" s="10">
        <v>3</v>
      </c>
      <c r="E31" s="10">
        <v>70</v>
      </c>
      <c r="F31" s="11">
        <v>60</v>
      </c>
      <c r="G31" s="29">
        <v>20.7</v>
      </c>
      <c r="H31" s="30">
        <f t="shared" si="11"/>
        <v>357</v>
      </c>
      <c r="I31" s="10"/>
      <c r="J31">
        <f t="shared" si="12"/>
        <v>0</v>
      </c>
      <c r="K31" s="10" t="str">
        <f t="shared" si="15"/>
        <v>1 préparateur OBLC 300</v>
      </c>
      <c r="L31" s="34">
        <v>130</v>
      </c>
      <c r="M31" s="10">
        <f t="shared" si="13"/>
        <v>13</v>
      </c>
      <c r="N31" s="10">
        <f t="shared" si="16"/>
        <v>0.35699999999999998</v>
      </c>
      <c r="P31" s="22"/>
      <c r="Q31" s="25"/>
    </row>
    <row r="32" spans="1:17" x14ac:dyDescent="0.2">
      <c r="A32">
        <f t="shared" si="14"/>
        <v>0</v>
      </c>
      <c r="B32" s="10" t="s">
        <v>329</v>
      </c>
      <c r="C32" s="10">
        <v>290</v>
      </c>
      <c r="D32" s="10">
        <v>3</v>
      </c>
      <c r="E32" s="10">
        <v>70</v>
      </c>
      <c r="F32" s="11">
        <v>60</v>
      </c>
      <c r="G32" s="29">
        <v>28.6</v>
      </c>
      <c r="H32" s="30">
        <f t="shared" si="11"/>
        <v>493</v>
      </c>
      <c r="I32" s="10"/>
      <c r="J32">
        <f t="shared" si="12"/>
        <v>0</v>
      </c>
      <c r="K32" s="10" t="str">
        <f t="shared" si="15"/>
        <v>1 préparateur OBPB 300</v>
      </c>
      <c r="L32" s="34">
        <v>170</v>
      </c>
      <c r="M32" s="10">
        <f t="shared" si="13"/>
        <v>17</v>
      </c>
      <c r="N32" s="10">
        <f t="shared" si="16"/>
        <v>0.49299999999999999</v>
      </c>
      <c r="P32" s="22"/>
      <c r="Q32" s="25"/>
    </row>
    <row r="33" spans="1:18" x14ac:dyDescent="0.2">
      <c r="A33">
        <f t="shared" si="14"/>
        <v>0</v>
      </c>
      <c r="B33" s="10" t="s">
        <v>323</v>
      </c>
      <c r="C33" s="10">
        <v>390</v>
      </c>
      <c r="D33" s="10">
        <v>3</v>
      </c>
      <c r="E33" s="10">
        <v>70</v>
      </c>
      <c r="F33" s="11">
        <v>60</v>
      </c>
      <c r="G33" s="29">
        <v>29.7</v>
      </c>
      <c r="H33" s="30">
        <f t="shared" si="11"/>
        <v>512</v>
      </c>
      <c r="I33" s="10"/>
      <c r="J33">
        <f t="shared" si="12"/>
        <v>0</v>
      </c>
      <c r="K33" s="10" t="str">
        <f t="shared" si="15"/>
        <v>1 préparateur OBLC 400</v>
      </c>
      <c r="L33" s="34">
        <v>170</v>
      </c>
      <c r="M33" s="10">
        <f t="shared" si="13"/>
        <v>17</v>
      </c>
      <c r="N33" s="10">
        <f t="shared" si="16"/>
        <v>0.51200000000000001</v>
      </c>
      <c r="P33" s="24"/>
      <c r="Q33" s="25"/>
    </row>
    <row r="34" spans="1:18" x14ac:dyDescent="0.2">
      <c r="A34">
        <f t="shared" si="14"/>
        <v>0</v>
      </c>
      <c r="B34" s="10" t="s">
        <v>330</v>
      </c>
      <c r="C34" s="10">
        <v>385</v>
      </c>
      <c r="D34" s="10">
        <v>3</v>
      </c>
      <c r="E34" s="10">
        <v>70</v>
      </c>
      <c r="F34" s="11">
        <v>60</v>
      </c>
      <c r="G34" s="29">
        <v>36</v>
      </c>
      <c r="H34" s="30">
        <f t="shared" si="11"/>
        <v>621</v>
      </c>
      <c r="I34" s="10"/>
      <c r="J34">
        <f t="shared" si="12"/>
        <v>0</v>
      </c>
      <c r="K34" s="10" t="str">
        <f t="shared" si="15"/>
        <v>1 préparateur OBPB 400</v>
      </c>
      <c r="L34" s="34">
        <v>200</v>
      </c>
      <c r="M34" s="10">
        <f t="shared" si="13"/>
        <v>20</v>
      </c>
      <c r="N34" s="10">
        <f t="shared" si="16"/>
        <v>0.621</v>
      </c>
      <c r="P34" s="24"/>
      <c r="Q34" s="25"/>
    </row>
    <row r="35" spans="1:18" x14ac:dyDescent="0.2">
      <c r="A35">
        <f t="shared" si="14"/>
        <v>0</v>
      </c>
      <c r="B35" s="10" t="s">
        <v>324</v>
      </c>
      <c r="C35" s="10">
        <v>495</v>
      </c>
      <c r="D35" s="10">
        <v>3</v>
      </c>
      <c r="E35" s="10">
        <v>70</v>
      </c>
      <c r="F35" s="11">
        <v>60</v>
      </c>
      <c r="G35" s="29">
        <v>35</v>
      </c>
      <c r="H35" s="30">
        <f t="shared" si="11"/>
        <v>603</v>
      </c>
      <c r="I35" s="10"/>
      <c r="J35">
        <f t="shared" si="12"/>
        <v>0</v>
      </c>
      <c r="K35" s="10" t="str">
        <f t="shared" si="15"/>
        <v>1 préparateur OBLC 500</v>
      </c>
      <c r="L35" s="34">
        <v>200</v>
      </c>
      <c r="M35" s="10">
        <f t="shared" si="13"/>
        <v>20</v>
      </c>
      <c r="N35" s="10">
        <f t="shared" si="16"/>
        <v>0.60299999999999998</v>
      </c>
      <c r="P35" s="24"/>
      <c r="Q35" s="25"/>
    </row>
    <row r="36" spans="1:18" x14ac:dyDescent="0.2">
      <c r="A36">
        <f t="shared" si="14"/>
        <v>0</v>
      </c>
      <c r="B36" s="10" t="s">
        <v>331</v>
      </c>
      <c r="C36" s="10">
        <v>485</v>
      </c>
      <c r="D36" s="10">
        <v>3</v>
      </c>
      <c r="E36" s="10">
        <v>70</v>
      </c>
      <c r="F36" s="11">
        <v>60</v>
      </c>
      <c r="G36" s="29">
        <v>45.6</v>
      </c>
      <c r="H36" s="30">
        <f t="shared" si="11"/>
        <v>786</v>
      </c>
      <c r="I36" s="10"/>
      <c r="J36">
        <f t="shared" si="12"/>
        <v>0</v>
      </c>
      <c r="K36" s="10" t="str">
        <f t="shared" si="15"/>
        <v>1 préparateur OBPB 500</v>
      </c>
      <c r="L36" s="34">
        <v>260</v>
      </c>
      <c r="M36" s="10">
        <f t="shared" si="13"/>
        <v>26</v>
      </c>
      <c r="N36" s="10">
        <f t="shared" si="16"/>
        <v>0.78600000000000003</v>
      </c>
      <c r="P36" s="23"/>
      <c r="Q36" s="25"/>
      <c r="R36" s="26"/>
    </row>
    <row r="37" spans="1:18" x14ac:dyDescent="0.2">
      <c r="A37">
        <f t="shared" si="14"/>
        <v>0</v>
      </c>
      <c r="B37" s="10" t="str">
        <f>CONCATENATE("2 - ",B31)</f>
        <v>2 - OBLC 300</v>
      </c>
      <c r="C37" s="10">
        <f>2*C31</f>
        <v>590</v>
      </c>
      <c r="D37" s="10">
        <v>6</v>
      </c>
      <c r="E37" s="10">
        <v>70</v>
      </c>
      <c r="F37" s="11">
        <v>60</v>
      </c>
      <c r="G37" s="29">
        <f>2*G31</f>
        <v>41.4</v>
      </c>
      <c r="H37" s="30">
        <f t="shared" si="11"/>
        <v>714</v>
      </c>
      <c r="I37" s="10"/>
      <c r="J37">
        <f t="shared" si="12"/>
        <v>0</v>
      </c>
      <c r="K37" s="10" t="str">
        <f>CONCATENATE("2 préparateurs ",B31," raccordés en parallèle")</f>
        <v>2 préparateurs OBLC 300 raccordés en parallèle</v>
      </c>
      <c r="L37" s="34">
        <f>L31</f>
        <v>130</v>
      </c>
      <c r="M37" s="10">
        <f t="shared" si="13"/>
        <v>13</v>
      </c>
      <c r="N37" s="10">
        <f t="shared" si="16"/>
        <v>0.71399999999999997</v>
      </c>
      <c r="P37" s="23"/>
      <c r="Q37" s="25"/>
      <c r="R37" s="26"/>
    </row>
    <row r="38" spans="1:18" x14ac:dyDescent="0.2">
      <c r="A38">
        <f t="shared" si="14"/>
        <v>1</v>
      </c>
      <c r="B38" s="10" t="str">
        <f>CONCATENATE("2 - ",B32)</f>
        <v>2 - OBPB 300</v>
      </c>
      <c r="C38" s="10">
        <f>2*C32</f>
        <v>580</v>
      </c>
      <c r="D38" s="10">
        <v>6</v>
      </c>
      <c r="E38" s="10">
        <v>70</v>
      </c>
      <c r="F38" s="11">
        <v>60</v>
      </c>
      <c r="G38" s="29">
        <f>2*G32</f>
        <v>57.2</v>
      </c>
      <c r="H38" s="30">
        <f t="shared" si="11"/>
        <v>986</v>
      </c>
      <c r="I38" s="10"/>
      <c r="J38">
        <f t="shared" si="12"/>
        <v>1</v>
      </c>
      <c r="K38" s="10" t="str">
        <f>CONCATENATE("2 préparateurs ",B32," raccordés en parallèle")</f>
        <v>2 préparateurs OBPB 300 raccordés en parallèle</v>
      </c>
      <c r="L38" s="34">
        <f>L32</f>
        <v>170</v>
      </c>
      <c r="M38" s="10">
        <f t="shared" si="13"/>
        <v>17</v>
      </c>
      <c r="N38" s="10">
        <f t="shared" si="16"/>
        <v>0.98599999999999999</v>
      </c>
      <c r="P38" s="23"/>
      <c r="Q38" s="25"/>
      <c r="R38" s="26"/>
    </row>
    <row r="39" spans="1:18" x14ac:dyDescent="0.2">
      <c r="A39">
        <f t="shared" si="14"/>
        <v>2</v>
      </c>
      <c r="B39" s="10" t="s">
        <v>335</v>
      </c>
      <c r="C39" s="10">
        <v>650</v>
      </c>
      <c r="D39" s="10">
        <v>3.7</v>
      </c>
      <c r="E39" s="10">
        <v>70</v>
      </c>
      <c r="F39" s="11">
        <v>60</v>
      </c>
      <c r="G39" s="32">
        <v>64.599999999999994</v>
      </c>
      <c r="H39" s="30">
        <f t="shared" si="11"/>
        <v>1114</v>
      </c>
      <c r="I39" s="10"/>
      <c r="J39">
        <f t="shared" si="12"/>
        <v>1</v>
      </c>
      <c r="K39" s="10" t="s">
        <v>351</v>
      </c>
      <c r="L39" s="34">
        <v>120</v>
      </c>
      <c r="M39" s="10">
        <f t="shared" si="13"/>
        <v>12</v>
      </c>
      <c r="N39" s="10">
        <f t="shared" si="16"/>
        <v>1.1140000000000001</v>
      </c>
      <c r="P39" s="23"/>
      <c r="Q39" s="25"/>
      <c r="R39" s="26"/>
    </row>
    <row r="40" spans="1:18" x14ac:dyDescent="0.2">
      <c r="A40">
        <f t="shared" si="14"/>
        <v>3</v>
      </c>
      <c r="B40" s="10" t="s">
        <v>336</v>
      </c>
      <c r="C40" s="10">
        <v>780</v>
      </c>
      <c r="D40" s="10">
        <v>3.7</v>
      </c>
      <c r="E40" s="10">
        <v>70</v>
      </c>
      <c r="F40" s="11">
        <v>60</v>
      </c>
      <c r="G40" s="32">
        <v>64.599999999999994</v>
      </c>
      <c r="H40" s="30">
        <f>ROUND(G40*1000/1.16/50,0)</f>
        <v>1114</v>
      </c>
      <c r="I40" s="10"/>
      <c r="J40">
        <f>IF(Tecs=F40,1,0)*IF(E40=$B$1,1,0)*IF(C40&gt;=$B$2,1,0)*IF(G40&gt;=$B$3,1,0)</f>
        <v>1</v>
      </c>
      <c r="K40" s="10" t="s">
        <v>352</v>
      </c>
      <c r="L40" s="34">
        <v>120</v>
      </c>
      <c r="M40" s="10">
        <f>L40/10</f>
        <v>12</v>
      </c>
      <c r="N40" s="10">
        <f>H40/1000</f>
        <v>1.1140000000000001</v>
      </c>
      <c r="P40" s="23"/>
      <c r="Q40" s="25"/>
      <c r="R40" s="26"/>
    </row>
    <row r="41" spans="1:18" x14ac:dyDescent="0.2">
      <c r="A41">
        <f t="shared" si="14"/>
        <v>4</v>
      </c>
      <c r="B41" s="10" t="str">
        <f>CONCATENATE("2 - ",B33)</f>
        <v>2 - OBLC 400</v>
      </c>
      <c r="C41" s="10">
        <f>2*C33</f>
        <v>780</v>
      </c>
      <c r="D41" s="10">
        <v>6</v>
      </c>
      <c r="E41" s="10">
        <v>70</v>
      </c>
      <c r="F41" s="11">
        <v>60</v>
      </c>
      <c r="G41" s="29">
        <f>2*G33</f>
        <v>59.4</v>
      </c>
      <c r="H41" s="30">
        <f t="shared" si="11"/>
        <v>1024</v>
      </c>
      <c r="I41" s="10"/>
      <c r="J41">
        <f t="shared" si="12"/>
        <v>1</v>
      </c>
      <c r="K41" s="10" t="str">
        <f>CONCATENATE("2 préparateurs ",B33," raccordés en parallèle")</f>
        <v>2 préparateurs OBLC 400 raccordés en parallèle</v>
      </c>
      <c r="L41" s="34">
        <f>L33</f>
        <v>170</v>
      </c>
      <c r="M41" s="10">
        <f t="shared" si="13"/>
        <v>17</v>
      </c>
      <c r="N41" s="10">
        <f t="shared" si="16"/>
        <v>1.024</v>
      </c>
      <c r="P41" s="23"/>
      <c r="Q41" s="25"/>
      <c r="R41" s="26"/>
    </row>
    <row r="42" spans="1:18" x14ac:dyDescent="0.2">
      <c r="A42">
        <f t="shared" si="14"/>
        <v>5</v>
      </c>
      <c r="B42" s="10" t="str">
        <f>CONCATENATE("2 - ",B34)</f>
        <v>2 - OBPB 400</v>
      </c>
      <c r="C42" s="10">
        <f>2*C34</f>
        <v>770</v>
      </c>
      <c r="D42" s="10">
        <v>6</v>
      </c>
      <c r="E42" s="10">
        <v>70</v>
      </c>
      <c r="F42" s="11">
        <v>60</v>
      </c>
      <c r="G42" s="29">
        <f>2*G34</f>
        <v>72</v>
      </c>
      <c r="H42" s="30">
        <f t="shared" si="11"/>
        <v>1241</v>
      </c>
      <c r="I42" s="10"/>
      <c r="J42">
        <f t="shared" si="12"/>
        <v>1</v>
      </c>
      <c r="K42" s="10" t="str">
        <f>CONCATENATE("2 préparateurs ",B34," raccordés en parallèle")</f>
        <v>2 préparateurs OBPB 400 raccordés en parallèle</v>
      </c>
      <c r="L42" s="34">
        <f>L34</f>
        <v>200</v>
      </c>
      <c r="M42" s="10">
        <f t="shared" si="13"/>
        <v>20</v>
      </c>
      <c r="N42" s="10">
        <f t="shared" si="16"/>
        <v>1.2410000000000001</v>
      </c>
      <c r="P42" s="23"/>
      <c r="Q42" s="25"/>
      <c r="R42" s="26"/>
    </row>
    <row r="43" spans="1:18" x14ac:dyDescent="0.2">
      <c r="A43">
        <f t="shared" si="14"/>
        <v>6</v>
      </c>
      <c r="B43" s="10" t="str">
        <f>CONCATENATE("2 - ",B35)</f>
        <v>2 - OBLC 500</v>
      </c>
      <c r="C43" s="10">
        <f>2*C35</f>
        <v>990</v>
      </c>
      <c r="D43" s="10">
        <v>9</v>
      </c>
      <c r="E43" s="10">
        <v>70</v>
      </c>
      <c r="F43" s="11">
        <v>60</v>
      </c>
      <c r="G43" s="29">
        <f>3*G31</f>
        <v>62.099999999999994</v>
      </c>
      <c r="H43" s="30">
        <f t="shared" si="11"/>
        <v>1071</v>
      </c>
      <c r="I43" s="10"/>
      <c r="J43">
        <f t="shared" si="12"/>
        <v>1</v>
      </c>
      <c r="K43" s="10" t="str">
        <f>CONCATENATE("3 préparateurs ",B31," raccordés en parallèle")</f>
        <v>3 préparateurs OBLC 300 raccordés en parallèle</v>
      </c>
      <c r="L43" s="34">
        <f>L31</f>
        <v>130</v>
      </c>
      <c r="M43" s="10">
        <f t="shared" si="13"/>
        <v>13</v>
      </c>
      <c r="N43" s="10">
        <f t="shared" si="16"/>
        <v>1.071</v>
      </c>
    </row>
    <row r="44" spans="1:18" x14ac:dyDescent="0.2">
      <c r="A44">
        <f t="shared" si="14"/>
        <v>7</v>
      </c>
      <c r="B44" s="10" t="s">
        <v>332</v>
      </c>
      <c r="C44" s="10">
        <f>3*C32</f>
        <v>870</v>
      </c>
      <c r="D44" s="10">
        <v>9</v>
      </c>
      <c r="E44" s="10">
        <v>70</v>
      </c>
      <c r="F44" s="11">
        <v>60</v>
      </c>
      <c r="G44" s="29">
        <f>3*G32</f>
        <v>85.800000000000011</v>
      </c>
      <c r="H44" s="30">
        <f t="shared" si="11"/>
        <v>1479</v>
      </c>
      <c r="I44" s="10"/>
      <c r="J44">
        <f t="shared" si="12"/>
        <v>1</v>
      </c>
      <c r="K44" s="10" t="str">
        <f>CONCATENATE("3 préparateurs ",B32," raccordés en parallèle")</f>
        <v>3 préparateurs OBPB 300 raccordés en parallèle</v>
      </c>
      <c r="L44" s="34">
        <f>L32</f>
        <v>170</v>
      </c>
      <c r="M44" s="10">
        <f t="shared" si="13"/>
        <v>17</v>
      </c>
      <c r="N44" s="10">
        <f t="shared" si="16"/>
        <v>1.4790000000000001</v>
      </c>
    </row>
    <row r="45" spans="1:18" x14ac:dyDescent="0.2">
      <c r="A45">
        <f t="shared" si="14"/>
        <v>8</v>
      </c>
      <c r="B45" s="10" t="s">
        <v>337</v>
      </c>
      <c r="C45" s="10">
        <v>980</v>
      </c>
      <c r="D45" s="10">
        <v>4.0999999999999996</v>
      </c>
      <c r="E45" s="10">
        <v>70</v>
      </c>
      <c r="F45" s="11">
        <v>60</v>
      </c>
      <c r="G45" s="32">
        <v>71.099999999999994</v>
      </c>
      <c r="H45" s="30">
        <f t="shared" si="11"/>
        <v>1226</v>
      </c>
      <c r="I45" s="10"/>
      <c r="J45">
        <f t="shared" si="12"/>
        <v>1</v>
      </c>
      <c r="K45" s="10" t="s">
        <v>353</v>
      </c>
      <c r="L45" s="34">
        <v>160</v>
      </c>
      <c r="M45" s="10">
        <f t="shared" si="13"/>
        <v>16</v>
      </c>
      <c r="N45" s="10">
        <f t="shared" si="16"/>
        <v>1.226</v>
      </c>
    </row>
    <row r="46" spans="1:18" x14ac:dyDescent="0.2">
      <c r="A46">
        <f t="shared" si="14"/>
        <v>9</v>
      </c>
      <c r="B46" s="10" t="str">
        <f>CONCATENATE("2 - ",B35)</f>
        <v>2 - OBLC 500</v>
      </c>
      <c r="C46" s="10">
        <f>2*C35</f>
        <v>990</v>
      </c>
      <c r="D46" s="10">
        <v>6</v>
      </c>
      <c r="E46" s="10">
        <v>70</v>
      </c>
      <c r="F46" s="11">
        <v>60</v>
      </c>
      <c r="G46" s="29">
        <f>2*G35</f>
        <v>70</v>
      </c>
      <c r="H46" s="30">
        <f t="shared" si="11"/>
        <v>1207</v>
      </c>
      <c r="I46" s="21"/>
      <c r="J46">
        <f t="shared" si="12"/>
        <v>1</v>
      </c>
      <c r="K46" s="10" t="str">
        <f>CONCATENATE("2 préparateurs ",B35," raccordés en parallèle")</f>
        <v>2 préparateurs OBLC 500 raccordés en parallèle</v>
      </c>
      <c r="L46" s="34">
        <f>L35</f>
        <v>200</v>
      </c>
      <c r="M46" s="10">
        <f t="shared" si="13"/>
        <v>20</v>
      </c>
      <c r="N46" s="10">
        <f t="shared" si="16"/>
        <v>1.2070000000000001</v>
      </c>
    </row>
    <row r="47" spans="1:18" x14ac:dyDescent="0.2">
      <c r="A47">
        <f t="shared" si="14"/>
        <v>10</v>
      </c>
      <c r="B47" s="10" t="str">
        <f>CONCATENATE("2 - ",B36)</f>
        <v>2 - OBPB 500</v>
      </c>
      <c r="C47" s="10">
        <f>2*C36</f>
        <v>970</v>
      </c>
      <c r="D47" s="10">
        <v>6</v>
      </c>
      <c r="E47" s="10">
        <v>70</v>
      </c>
      <c r="F47" s="11">
        <v>60</v>
      </c>
      <c r="G47" s="29">
        <f>2*G36</f>
        <v>91.2</v>
      </c>
      <c r="H47" s="30">
        <f t="shared" si="11"/>
        <v>1572</v>
      </c>
      <c r="I47" s="21"/>
      <c r="J47">
        <f t="shared" si="12"/>
        <v>1</v>
      </c>
      <c r="K47" s="10" t="str">
        <f>CONCATENATE("2 préparateurs ",B36," raccordés en parallèle")</f>
        <v>2 préparateurs OBPB 500 raccordés en parallèle</v>
      </c>
      <c r="L47" s="34">
        <f>L36</f>
        <v>260</v>
      </c>
      <c r="M47" s="10">
        <f t="shared" si="13"/>
        <v>26</v>
      </c>
      <c r="N47" s="10">
        <f t="shared" si="16"/>
        <v>1.5720000000000001</v>
      </c>
    </row>
    <row r="48" spans="1:18" x14ac:dyDescent="0.2">
      <c r="A48">
        <f t="shared" si="14"/>
        <v>11</v>
      </c>
      <c r="B48" s="10" t="s">
        <v>325</v>
      </c>
      <c r="C48" s="10">
        <f>3*C33</f>
        <v>1170</v>
      </c>
      <c r="D48" s="10">
        <v>9</v>
      </c>
      <c r="E48" s="10">
        <v>70</v>
      </c>
      <c r="F48" s="11">
        <v>60</v>
      </c>
      <c r="G48" s="29">
        <f>3*G33</f>
        <v>89.1</v>
      </c>
      <c r="H48" s="30">
        <f t="shared" si="11"/>
        <v>1536</v>
      </c>
      <c r="I48" s="21"/>
      <c r="J48">
        <f t="shared" si="12"/>
        <v>1</v>
      </c>
      <c r="K48" s="10" t="str">
        <f>CONCATENATE("3 préparateurs ",B33," raccordés en parallèle")</f>
        <v>3 préparateurs OBLC 400 raccordés en parallèle</v>
      </c>
      <c r="L48" s="34">
        <f>L33</f>
        <v>170</v>
      </c>
      <c r="M48" s="10">
        <f t="shared" si="13"/>
        <v>17</v>
      </c>
      <c r="N48" s="10">
        <f t="shared" si="16"/>
        <v>1.536</v>
      </c>
    </row>
    <row r="49" spans="1:14" x14ac:dyDescent="0.2">
      <c r="A49">
        <f t="shared" si="14"/>
        <v>12</v>
      </c>
      <c r="B49" s="10" t="s">
        <v>333</v>
      </c>
      <c r="C49" s="10">
        <f>3*C34</f>
        <v>1155</v>
      </c>
      <c r="D49" s="10">
        <v>9</v>
      </c>
      <c r="E49" s="10">
        <v>70</v>
      </c>
      <c r="F49" s="11">
        <v>60</v>
      </c>
      <c r="G49" s="29">
        <f>3*G34</f>
        <v>108</v>
      </c>
      <c r="H49" s="30">
        <f t="shared" si="11"/>
        <v>1862</v>
      </c>
      <c r="I49" s="21"/>
      <c r="J49">
        <f t="shared" si="12"/>
        <v>1</v>
      </c>
      <c r="K49" s="10" t="str">
        <f>CONCATENATE("3 préparateurs ",B34," raccordés en parallèle")</f>
        <v>3 préparateurs OBPB 400 raccordés en parallèle</v>
      </c>
      <c r="L49" s="34">
        <f>L34</f>
        <v>200</v>
      </c>
      <c r="M49" s="10">
        <f t="shared" si="13"/>
        <v>20</v>
      </c>
      <c r="N49" s="10">
        <f t="shared" si="16"/>
        <v>1.8620000000000001</v>
      </c>
    </row>
    <row r="50" spans="1:14" x14ac:dyDescent="0.2">
      <c r="A50">
        <f t="shared" si="14"/>
        <v>13</v>
      </c>
      <c r="B50" s="10" t="s">
        <v>338</v>
      </c>
      <c r="C50" s="10">
        <f>2*C39</f>
        <v>1300</v>
      </c>
      <c r="D50" s="10">
        <f>2*D39</f>
        <v>7.4</v>
      </c>
      <c r="E50" s="10">
        <v>70</v>
      </c>
      <c r="F50" s="11">
        <v>60</v>
      </c>
      <c r="G50" s="33">
        <f>2*G39</f>
        <v>129.19999999999999</v>
      </c>
      <c r="H50" s="30">
        <f t="shared" si="11"/>
        <v>2228</v>
      </c>
      <c r="I50" s="10"/>
      <c r="J50">
        <f t="shared" si="12"/>
        <v>1</v>
      </c>
      <c r="K50" s="10" t="s">
        <v>354</v>
      </c>
      <c r="L50" s="34">
        <f>L39</f>
        <v>120</v>
      </c>
      <c r="M50" s="10">
        <f t="shared" si="13"/>
        <v>12</v>
      </c>
      <c r="N50" s="10">
        <f t="shared" si="16"/>
        <v>2.2280000000000002</v>
      </c>
    </row>
    <row r="51" spans="1:14" x14ac:dyDescent="0.2">
      <c r="A51">
        <f t="shared" si="14"/>
        <v>14</v>
      </c>
      <c r="B51" s="10" t="s">
        <v>339</v>
      </c>
      <c r="C51" s="10">
        <v>1500</v>
      </c>
      <c r="D51" s="10">
        <v>5.0999999999999996</v>
      </c>
      <c r="E51" s="10">
        <v>70</v>
      </c>
      <c r="F51" s="11">
        <v>60</v>
      </c>
      <c r="G51" s="33">
        <v>88.8</v>
      </c>
      <c r="H51" s="30">
        <f t="shared" si="11"/>
        <v>1531</v>
      </c>
      <c r="I51" s="10"/>
      <c r="J51">
        <f t="shared" si="12"/>
        <v>1</v>
      </c>
      <c r="K51" s="10" t="str">
        <f>CONCATENATE("1 préparateur ",B51)</f>
        <v>1 préparateur OB 1500</v>
      </c>
      <c r="L51" s="34">
        <v>310</v>
      </c>
      <c r="M51" s="10">
        <f t="shared" si="13"/>
        <v>31</v>
      </c>
      <c r="N51" s="10">
        <f t="shared" si="16"/>
        <v>1.5309999999999999</v>
      </c>
    </row>
    <row r="52" spans="1:14" x14ac:dyDescent="0.2">
      <c r="A52">
        <f t="shared" si="14"/>
        <v>15</v>
      </c>
      <c r="B52" s="10" t="s">
        <v>326</v>
      </c>
      <c r="C52" s="10">
        <f>3*C35</f>
        <v>1485</v>
      </c>
      <c r="D52" s="10">
        <v>9</v>
      </c>
      <c r="E52" s="10">
        <v>70</v>
      </c>
      <c r="F52" s="11">
        <v>60</v>
      </c>
      <c r="G52" s="29">
        <f>3*G35</f>
        <v>105</v>
      </c>
      <c r="H52" s="30">
        <f t="shared" si="11"/>
        <v>1810</v>
      </c>
      <c r="I52" s="21"/>
      <c r="J52">
        <f t="shared" si="12"/>
        <v>1</v>
      </c>
      <c r="K52" s="10" t="str">
        <f>CONCATENATE("3 préparateurs ",B35," raccordés en parallèle")</f>
        <v>3 préparateurs OBLC 500 raccordés en parallèle</v>
      </c>
      <c r="L52" s="34">
        <f>L35</f>
        <v>200</v>
      </c>
      <c r="M52" s="10">
        <f t="shared" si="13"/>
        <v>20</v>
      </c>
      <c r="N52" s="10">
        <f t="shared" si="16"/>
        <v>1.81</v>
      </c>
    </row>
    <row r="53" spans="1:14" x14ac:dyDescent="0.2">
      <c r="A53">
        <f t="shared" si="14"/>
        <v>16</v>
      </c>
      <c r="B53" s="10" t="s">
        <v>334</v>
      </c>
      <c r="C53" s="10">
        <f>3*C36</f>
        <v>1455</v>
      </c>
      <c r="D53" s="10">
        <v>9</v>
      </c>
      <c r="E53" s="10">
        <v>70</v>
      </c>
      <c r="F53" s="11">
        <v>60</v>
      </c>
      <c r="G53" s="29">
        <f>3*G36</f>
        <v>136.80000000000001</v>
      </c>
      <c r="H53" s="30">
        <f t="shared" si="11"/>
        <v>2359</v>
      </c>
      <c r="I53" s="21"/>
      <c r="J53">
        <f t="shared" si="12"/>
        <v>1</v>
      </c>
      <c r="K53" s="10" t="str">
        <f>CONCATENATE("3 préparateurs ",B36," raccordés en parallèle")</f>
        <v>3 préparateurs OBPB 500 raccordés en parallèle</v>
      </c>
      <c r="L53" s="34">
        <f>L36</f>
        <v>260</v>
      </c>
      <c r="M53" s="10">
        <f t="shared" si="13"/>
        <v>26</v>
      </c>
      <c r="N53" s="10">
        <f t="shared" si="16"/>
        <v>2.359</v>
      </c>
    </row>
    <row r="54" spans="1:14" x14ac:dyDescent="0.2">
      <c r="A54">
        <f t="shared" si="14"/>
        <v>17</v>
      </c>
      <c r="B54" s="10" t="s">
        <v>340</v>
      </c>
      <c r="C54" s="10">
        <v>1560</v>
      </c>
      <c r="D54" s="10">
        <f>2*D40</f>
        <v>7.4</v>
      </c>
      <c r="E54" s="10">
        <v>70</v>
      </c>
      <c r="F54" s="11">
        <v>60</v>
      </c>
      <c r="G54" s="32">
        <f>2*G40</f>
        <v>129.19999999999999</v>
      </c>
      <c r="H54" s="30">
        <f t="shared" si="11"/>
        <v>2228</v>
      </c>
      <c r="I54" s="10"/>
      <c r="J54">
        <f t="shared" si="12"/>
        <v>1</v>
      </c>
      <c r="K54" s="10" t="s">
        <v>355</v>
      </c>
      <c r="L54" s="34">
        <f>L40</f>
        <v>120</v>
      </c>
      <c r="M54" s="10">
        <f t="shared" si="13"/>
        <v>12</v>
      </c>
      <c r="N54" s="10">
        <f t="shared" si="16"/>
        <v>2.2280000000000002</v>
      </c>
    </row>
    <row r="55" spans="1:14" x14ac:dyDescent="0.2">
      <c r="A55">
        <f t="shared" si="14"/>
        <v>18</v>
      </c>
      <c r="B55" s="10" t="s">
        <v>341</v>
      </c>
      <c r="C55" s="10">
        <f>3*C39</f>
        <v>1950</v>
      </c>
      <c r="D55" s="10">
        <f>3*D39</f>
        <v>11.100000000000001</v>
      </c>
      <c r="E55" s="10">
        <v>70</v>
      </c>
      <c r="F55" s="11">
        <v>60</v>
      </c>
      <c r="G55" s="33">
        <f>3*G39</f>
        <v>193.79999999999998</v>
      </c>
      <c r="H55" s="30">
        <f t="shared" si="11"/>
        <v>3341</v>
      </c>
      <c r="I55" s="10"/>
      <c r="J55">
        <f t="shared" si="12"/>
        <v>1</v>
      </c>
      <c r="K55" s="10" t="s">
        <v>356</v>
      </c>
      <c r="L55" s="34">
        <f>L39</f>
        <v>120</v>
      </c>
      <c r="M55" s="10">
        <f t="shared" si="13"/>
        <v>12</v>
      </c>
      <c r="N55" s="10">
        <f t="shared" si="16"/>
        <v>3.3410000000000002</v>
      </c>
    </row>
    <row r="56" spans="1:14" x14ac:dyDescent="0.2">
      <c r="A56">
        <f t="shared" si="14"/>
        <v>19</v>
      </c>
      <c r="B56" s="10" t="s">
        <v>343</v>
      </c>
      <c r="C56" s="10">
        <v>1960</v>
      </c>
      <c r="D56" s="10">
        <f>2*D45</f>
        <v>8.1999999999999993</v>
      </c>
      <c r="E56" s="10">
        <v>70</v>
      </c>
      <c r="F56" s="11">
        <v>60</v>
      </c>
      <c r="G56" s="32">
        <f>2*G45</f>
        <v>142.19999999999999</v>
      </c>
      <c r="H56" s="30">
        <f>ROUND(G56*1000/1.16/50,0)</f>
        <v>2452</v>
      </c>
      <c r="I56" s="10"/>
      <c r="J56">
        <f>IF(Tecs=F56,1,0)*IF(E56=$B$1,1,0)*IF(C56&gt;=$B$2,1,0)*IF(G56&gt;=$B$3,1,0)</f>
        <v>1</v>
      </c>
      <c r="K56" s="10" t="s">
        <v>357</v>
      </c>
      <c r="L56" s="34">
        <f>L45</f>
        <v>160</v>
      </c>
      <c r="M56" s="10">
        <f>L56/10</f>
        <v>16</v>
      </c>
      <c r="N56" s="10">
        <f>H56/1000</f>
        <v>2.452</v>
      </c>
    </row>
    <row r="57" spans="1:14" x14ac:dyDescent="0.2">
      <c r="A57">
        <f t="shared" si="14"/>
        <v>20</v>
      </c>
      <c r="B57" s="10" t="s">
        <v>342</v>
      </c>
      <c r="C57" s="10">
        <v>2000</v>
      </c>
      <c r="D57" s="10">
        <v>5.0999999999999996</v>
      </c>
      <c r="E57" s="10">
        <v>70</v>
      </c>
      <c r="F57" s="11">
        <v>60</v>
      </c>
      <c r="G57" s="33">
        <v>88.8</v>
      </c>
      <c r="H57" s="30">
        <f t="shared" si="11"/>
        <v>1531</v>
      </c>
      <c r="I57" s="10"/>
      <c r="J57">
        <f t="shared" si="12"/>
        <v>1</v>
      </c>
      <c r="K57" s="10" t="str">
        <f>CONCATENATE("1 préparateur ",B57)</f>
        <v>1 préparateur OB 2000</v>
      </c>
      <c r="L57" s="34">
        <v>310</v>
      </c>
      <c r="M57" s="10">
        <f t="shared" si="13"/>
        <v>31</v>
      </c>
      <c r="N57" s="10">
        <f t="shared" si="16"/>
        <v>1.5309999999999999</v>
      </c>
    </row>
    <row r="58" spans="1:14" x14ac:dyDescent="0.2">
      <c r="A58">
        <f t="shared" si="14"/>
        <v>21</v>
      </c>
      <c r="B58" s="10" t="s">
        <v>344</v>
      </c>
      <c r="C58" s="10">
        <v>2500</v>
      </c>
      <c r="D58" s="10">
        <v>5.0999999999999996</v>
      </c>
      <c r="E58" s="10">
        <v>70</v>
      </c>
      <c r="F58" s="11">
        <v>60</v>
      </c>
      <c r="G58" s="33">
        <v>88.8</v>
      </c>
      <c r="H58" s="30">
        <f>ROUND(G58*1000/1.16/50,0)</f>
        <v>1531</v>
      </c>
      <c r="I58" s="10"/>
      <c r="J58">
        <f t="shared" si="12"/>
        <v>1</v>
      </c>
      <c r="K58" s="10" t="str">
        <f>CONCATENATE("1 préparateur ",B58)</f>
        <v>1 préparateur OB 2500</v>
      </c>
      <c r="L58" s="34">
        <v>310</v>
      </c>
      <c r="M58" s="10">
        <f t="shared" si="13"/>
        <v>31</v>
      </c>
      <c r="N58" s="10">
        <f t="shared" si="16"/>
        <v>1.5309999999999999</v>
      </c>
    </row>
    <row r="59" spans="1:14" x14ac:dyDescent="0.2">
      <c r="A59">
        <f t="shared" si="14"/>
        <v>22</v>
      </c>
      <c r="B59" s="10" t="s">
        <v>345</v>
      </c>
      <c r="C59" s="10">
        <v>3000</v>
      </c>
      <c r="D59" s="10">
        <f>2*D51</f>
        <v>10.199999999999999</v>
      </c>
      <c r="E59" s="10">
        <v>70</v>
      </c>
      <c r="F59" s="11">
        <v>60</v>
      </c>
      <c r="G59" s="33">
        <f>2*G51</f>
        <v>177.6</v>
      </c>
      <c r="H59" s="30">
        <f t="shared" ref="H59:H65" si="17">ROUND(G59*1000/1.16/50,0)</f>
        <v>3062</v>
      </c>
      <c r="I59" s="10"/>
      <c r="J59">
        <f t="shared" ref="J59:J90" si="18">IF(Tecs=F59,1,0)*IF(E59=$B$1,1,0)*IF(C59&gt;=$B$2,1,0)*IF(G59&gt;=$B$3,1,0)</f>
        <v>1</v>
      </c>
      <c r="K59" s="10" t="s">
        <v>358</v>
      </c>
      <c r="L59" s="34">
        <v>310</v>
      </c>
      <c r="M59" s="10">
        <f>L59/10</f>
        <v>31</v>
      </c>
      <c r="N59" s="10">
        <f t="shared" si="16"/>
        <v>3.0619999999999998</v>
      </c>
    </row>
    <row r="60" spans="1:14" x14ac:dyDescent="0.2">
      <c r="A60">
        <f t="shared" si="14"/>
        <v>23</v>
      </c>
      <c r="B60" s="10" t="s">
        <v>346</v>
      </c>
      <c r="C60" s="10">
        <v>3000</v>
      </c>
      <c r="D60" s="10">
        <v>5.0999999999999996</v>
      </c>
      <c r="E60" s="10">
        <v>70</v>
      </c>
      <c r="F60" s="11">
        <v>60</v>
      </c>
      <c r="G60" s="33">
        <v>88.8</v>
      </c>
      <c r="H60" s="30">
        <f t="shared" si="17"/>
        <v>1531</v>
      </c>
      <c r="I60" s="10"/>
      <c r="J60">
        <f t="shared" si="18"/>
        <v>1</v>
      </c>
      <c r="K60" s="10" t="str">
        <f>CONCATENATE("1 préparateur ",B60)</f>
        <v>1 préparateur OB 3000</v>
      </c>
      <c r="L60" s="34">
        <v>310</v>
      </c>
      <c r="M60" s="10">
        <f>L60/10</f>
        <v>31</v>
      </c>
      <c r="N60" s="10">
        <f t="shared" si="16"/>
        <v>1.5309999999999999</v>
      </c>
    </row>
    <row r="61" spans="1:14" x14ac:dyDescent="0.2">
      <c r="A61">
        <f t="shared" si="14"/>
        <v>24</v>
      </c>
      <c r="B61" s="10" t="s">
        <v>347</v>
      </c>
      <c r="C61" s="10">
        <v>4000</v>
      </c>
      <c r="D61" s="10">
        <f>2*D57</f>
        <v>10.199999999999999</v>
      </c>
      <c r="E61" s="10">
        <v>70</v>
      </c>
      <c r="F61" s="11">
        <v>60</v>
      </c>
      <c r="G61" s="33">
        <f>2*G57</f>
        <v>177.6</v>
      </c>
      <c r="H61" s="30">
        <f t="shared" si="17"/>
        <v>3062</v>
      </c>
      <c r="I61" s="10"/>
      <c r="J61">
        <f t="shared" si="18"/>
        <v>1</v>
      </c>
      <c r="K61" s="10" t="s">
        <v>359</v>
      </c>
      <c r="L61" s="34">
        <f>+L57</f>
        <v>310</v>
      </c>
      <c r="M61" s="10">
        <f>L61/10</f>
        <v>31</v>
      </c>
      <c r="N61" s="10">
        <f t="shared" si="16"/>
        <v>3.0619999999999998</v>
      </c>
    </row>
    <row r="62" spans="1:14" x14ac:dyDescent="0.2">
      <c r="A62">
        <f t="shared" si="14"/>
        <v>25</v>
      </c>
      <c r="B62" s="10" t="s">
        <v>348</v>
      </c>
      <c r="C62" s="10">
        <v>5000</v>
      </c>
      <c r="D62" s="10">
        <f>2*D58</f>
        <v>10.199999999999999</v>
      </c>
      <c r="E62" s="10">
        <v>70</v>
      </c>
      <c r="F62" s="11">
        <v>60</v>
      </c>
      <c r="G62" s="33">
        <f>2*G58</f>
        <v>177.6</v>
      </c>
      <c r="H62" s="30">
        <f t="shared" si="17"/>
        <v>3062</v>
      </c>
      <c r="I62" s="10"/>
      <c r="J62">
        <f t="shared" si="18"/>
        <v>1</v>
      </c>
      <c r="K62" s="10" t="s">
        <v>360</v>
      </c>
      <c r="L62" s="34">
        <v>310</v>
      </c>
      <c r="M62" s="10">
        <f>L62/10</f>
        <v>31</v>
      </c>
      <c r="N62" s="10">
        <f t="shared" si="16"/>
        <v>3.0619999999999998</v>
      </c>
    </row>
    <row r="63" spans="1:14" ht="13.5" thickBot="1" x14ac:dyDescent="0.25">
      <c r="A63">
        <f t="shared" si="14"/>
        <v>26</v>
      </c>
      <c r="B63" s="10" t="s">
        <v>349</v>
      </c>
      <c r="C63" s="10">
        <v>6000</v>
      </c>
      <c r="D63" s="10">
        <f>2*D60</f>
        <v>10.199999999999999</v>
      </c>
      <c r="E63" s="10">
        <v>70</v>
      </c>
      <c r="F63" s="11">
        <v>60</v>
      </c>
      <c r="G63" s="33">
        <f>2*G60</f>
        <v>177.6</v>
      </c>
      <c r="H63" s="30">
        <f t="shared" si="17"/>
        <v>3062</v>
      </c>
      <c r="I63" s="10"/>
      <c r="J63">
        <f t="shared" si="18"/>
        <v>1</v>
      </c>
      <c r="K63" s="10" t="s">
        <v>350</v>
      </c>
      <c r="L63" s="34">
        <v>310</v>
      </c>
      <c r="M63" s="10">
        <f>L63/10</f>
        <v>31</v>
      </c>
      <c r="N63" s="10">
        <f t="shared" si="16"/>
        <v>3.0619999999999998</v>
      </c>
    </row>
    <row r="64" spans="1:14" x14ac:dyDescent="0.2">
      <c r="A64">
        <f t="shared" si="14"/>
        <v>26</v>
      </c>
      <c r="B64" s="12" t="s">
        <v>320</v>
      </c>
      <c r="C64" s="12">
        <v>145</v>
      </c>
      <c r="D64" s="12">
        <v>3</v>
      </c>
      <c r="E64" s="12">
        <v>80</v>
      </c>
      <c r="F64" s="13">
        <v>60</v>
      </c>
      <c r="G64" s="29">
        <v>21.3</v>
      </c>
      <c r="H64" s="30">
        <f t="shared" si="17"/>
        <v>367</v>
      </c>
      <c r="I64" s="12"/>
      <c r="J64">
        <f t="shared" si="18"/>
        <v>0</v>
      </c>
      <c r="K64" s="12" t="str">
        <f t="shared" ref="K64:K76" si="19">K27</f>
        <v>1 préparateur OBLC 150</v>
      </c>
      <c r="L64" s="35">
        <v>110</v>
      </c>
      <c r="M64" s="12">
        <f t="shared" si="13"/>
        <v>11</v>
      </c>
      <c r="N64" s="12">
        <f t="shared" si="16"/>
        <v>0.36699999999999999</v>
      </c>
    </row>
    <row r="65" spans="1:14" x14ac:dyDescent="0.2">
      <c r="A65">
        <f t="shared" si="14"/>
        <v>26</v>
      </c>
      <c r="B65" s="12" t="s">
        <v>327</v>
      </c>
      <c r="C65" s="12">
        <v>145</v>
      </c>
      <c r="D65" s="12">
        <v>3</v>
      </c>
      <c r="E65" s="12">
        <v>80</v>
      </c>
      <c r="F65" s="13">
        <v>60</v>
      </c>
      <c r="G65" s="29">
        <v>23.4</v>
      </c>
      <c r="H65" s="30">
        <f t="shared" si="17"/>
        <v>403</v>
      </c>
      <c r="I65" s="12"/>
      <c r="J65">
        <f t="shared" si="18"/>
        <v>0</v>
      </c>
      <c r="K65" s="12" t="str">
        <f t="shared" si="19"/>
        <v>1 préparateur OBPB 150</v>
      </c>
      <c r="L65" s="34">
        <v>120</v>
      </c>
      <c r="M65" s="12">
        <f t="shared" si="13"/>
        <v>12</v>
      </c>
      <c r="N65" s="12">
        <f t="shared" si="16"/>
        <v>0.40300000000000002</v>
      </c>
    </row>
    <row r="66" spans="1:14" x14ac:dyDescent="0.2">
      <c r="A66">
        <f t="shared" si="14"/>
        <v>26</v>
      </c>
      <c r="B66" s="12" t="s">
        <v>321</v>
      </c>
      <c r="C66" s="12">
        <v>195</v>
      </c>
      <c r="D66" s="12">
        <v>3</v>
      </c>
      <c r="E66" s="12">
        <v>80</v>
      </c>
      <c r="F66" s="13">
        <v>60</v>
      </c>
      <c r="G66" s="29">
        <v>27.1</v>
      </c>
      <c r="H66" s="30">
        <f t="shared" si="11"/>
        <v>467</v>
      </c>
      <c r="I66" s="12"/>
      <c r="J66">
        <f t="shared" si="18"/>
        <v>0</v>
      </c>
      <c r="K66" s="12" t="str">
        <f t="shared" si="19"/>
        <v>1 préparateur OBLC 200</v>
      </c>
      <c r="L66" s="34">
        <v>120</v>
      </c>
      <c r="M66" s="12">
        <f t="shared" si="13"/>
        <v>12</v>
      </c>
      <c r="N66" s="12">
        <f t="shared" si="16"/>
        <v>0.46700000000000003</v>
      </c>
    </row>
    <row r="67" spans="1:14" x14ac:dyDescent="0.2">
      <c r="A67">
        <f t="shared" si="14"/>
        <v>26</v>
      </c>
      <c r="B67" s="12" t="s">
        <v>328</v>
      </c>
      <c r="C67" s="12">
        <v>195</v>
      </c>
      <c r="D67" s="12">
        <v>3</v>
      </c>
      <c r="E67" s="12">
        <v>80</v>
      </c>
      <c r="F67" s="13">
        <v>60</v>
      </c>
      <c r="G67" s="29">
        <v>32</v>
      </c>
      <c r="H67" s="30">
        <f t="shared" si="11"/>
        <v>552</v>
      </c>
      <c r="I67" s="12"/>
      <c r="J67">
        <f t="shared" si="18"/>
        <v>0</v>
      </c>
      <c r="K67" s="12" t="str">
        <f t="shared" si="19"/>
        <v>1 préparateur OBPB 200</v>
      </c>
      <c r="L67" s="34">
        <v>140</v>
      </c>
      <c r="M67" s="12">
        <f t="shared" si="13"/>
        <v>14</v>
      </c>
      <c r="N67" s="12">
        <f t="shared" si="16"/>
        <v>0.55200000000000005</v>
      </c>
    </row>
    <row r="68" spans="1:14" x14ac:dyDescent="0.2">
      <c r="A68">
        <f t="shared" si="14"/>
        <v>26</v>
      </c>
      <c r="B68" s="12" t="s">
        <v>322</v>
      </c>
      <c r="C68" s="12">
        <v>295</v>
      </c>
      <c r="D68" s="12">
        <v>3</v>
      </c>
      <c r="E68" s="12">
        <v>80</v>
      </c>
      <c r="F68" s="13">
        <v>60</v>
      </c>
      <c r="G68" s="29">
        <v>32</v>
      </c>
      <c r="H68" s="30">
        <f t="shared" si="11"/>
        <v>552</v>
      </c>
      <c r="I68" s="12"/>
      <c r="J68">
        <f t="shared" si="18"/>
        <v>0</v>
      </c>
      <c r="K68" s="12" t="str">
        <f t="shared" si="19"/>
        <v>1 préparateur OBLC 300</v>
      </c>
      <c r="L68" s="34">
        <v>130</v>
      </c>
      <c r="M68" s="12">
        <f t="shared" si="13"/>
        <v>13</v>
      </c>
      <c r="N68" s="12">
        <f t="shared" si="16"/>
        <v>0.55200000000000005</v>
      </c>
    </row>
    <row r="69" spans="1:14" x14ac:dyDescent="0.2">
      <c r="A69">
        <f t="shared" si="14"/>
        <v>26</v>
      </c>
      <c r="B69" s="12" t="s">
        <v>329</v>
      </c>
      <c r="C69" s="12">
        <v>290</v>
      </c>
      <c r="D69" s="12">
        <v>3</v>
      </c>
      <c r="E69" s="12">
        <v>80</v>
      </c>
      <c r="F69" s="13">
        <v>60</v>
      </c>
      <c r="G69" s="29">
        <v>44.3</v>
      </c>
      <c r="H69" s="30">
        <f t="shared" si="11"/>
        <v>764</v>
      </c>
      <c r="I69" s="12"/>
      <c r="J69">
        <f t="shared" si="18"/>
        <v>0</v>
      </c>
      <c r="K69" s="12" t="str">
        <f t="shared" si="19"/>
        <v>1 préparateur OBPB 300</v>
      </c>
      <c r="L69" s="34">
        <v>170</v>
      </c>
      <c r="M69" s="12">
        <f t="shared" si="13"/>
        <v>17</v>
      </c>
      <c r="N69" s="12">
        <f t="shared" si="16"/>
        <v>0.76400000000000001</v>
      </c>
    </row>
    <row r="70" spans="1:14" x14ac:dyDescent="0.2">
      <c r="A70">
        <f t="shared" si="14"/>
        <v>26</v>
      </c>
      <c r="B70" s="12" t="s">
        <v>323</v>
      </c>
      <c r="C70" s="12">
        <v>390</v>
      </c>
      <c r="D70" s="12">
        <v>3</v>
      </c>
      <c r="E70" s="12">
        <v>80</v>
      </c>
      <c r="F70" s="13">
        <v>60</v>
      </c>
      <c r="G70" s="29">
        <v>45.9</v>
      </c>
      <c r="H70" s="30">
        <f t="shared" si="11"/>
        <v>791</v>
      </c>
      <c r="I70" s="12"/>
      <c r="J70">
        <f t="shared" si="18"/>
        <v>0</v>
      </c>
      <c r="K70" s="12" t="str">
        <f t="shared" si="19"/>
        <v>1 préparateur OBLC 400</v>
      </c>
      <c r="L70" s="34">
        <v>170</v>
      </c>
      <c r="M70" s="12">
        <f t="shared" si="13"/>
        <v>17</v>
      </c>
      <c r="N70" s="12">
        <f t="shared" si="16"/>
        <v>0.79100000000000004</v>
      </c>
    </row>
    <row r="71" spans="1:14" x14ac:dyDescent="0.2">
      <c r="A71">
        <f t="shared" si="14"/>
        <v>26</v>
      </c>
      <c r="B71" s="12" t="s">
        <v>330</v>
      </c>
      <c r="C71" s="12">
        <v>385</v>
      </c>
      <c r="D71" s="12">
        <v>3</v>
      </c>
      <c r="E71" s="12">
        <v>80</v>
      </c>
      <c r="F71" s="13">
        <v>60</v>
      </c>
      <c r="G71" s="29">
        <v>55.8</v>
      </c>
      <c r="H71" s="30">
        <f t="shared" si="11"/>
        <v>962</v>
      </c>
      <c r="I71" s="12"/>
      <c r="J71">
        <f t="shared" si="18"/>
        <v>0</v>
      </c>
      <c r="K71" s="12" t="str">
        <f t="shared" si="19"/>
        <v>1 préparateur OBPB 400</v>
      </c>
      <c r="L71" s="34">
        <v>200</v>
      </c>
      <c r="M71" s="12">
        <f t="shared" si="13"/>
        <v>20</v>
      </c>
      <c r="N71" s="12">
        <f t="shared" si="16"/>
        <v>0.96199999999999997</v>
      </c>
    </row>
    <row r="72" spans="1:14" x14ac:dyDescent="0.2">
      <c r="A72">
        <f t="shared" si="14"/>
        <v>26</v>
      </c>
      <c r="B72" s="12" t="s">
        <v>324</v>
      </c>
      <c r="C72" s="12">
        <v>495</v>
      </c>
      <c r="D72" s="12">
        <v>3</v>
      </c>
      <c r="E72" s="12">
        <v>80</v>
      </c>
      <c r="F72" s="13">
        <v>60</v>
      </c>
      <c r="G72" s="29">
        <v>54.1</v>
      </c>
      <c r="H72" s="30">
        <f t="shared" si="11"/>
        <v>933</v>
      </c>
      <c r="I72" s="12"/>
      <c r="J72">
        <f t="shared" si="18"/>
        <v>0</v>
      </c>
      <c r="K72" s="12" t="str">
        <f t="shared" si="19"/>
        <v>1 préparateur OBLC 500</v>
      </c>
      <c r="L72" s="34">
        <v>200</v>
      </c>
      <c r="M72" s="12">
        <f t="shared" si="13"/>
        <v>20</v>
      </c>
      <c r="N72" s="12">
        <f t="shared" si="16"/>
        <v>0.93300000000000005</v>
      </c>
    </row>
    <row r="73" spans="1:14" x14ac:dyDescent="0.2">
      <c r="A73">
        <f t="shared" si="14"/>
        <v>26</v>
      </c>
      <c r="B73" s="12" t="s">
        <v>331</v>
      </c>
      <c r="C73" s="12">
        <v>485</v>
      </c>
      <c r="D73" s="12">
        <v>3</v>
      </c>
      <c r="E73" s="12">
        <v>80</v>
      </c>
      <c r="F73" s="13">
        <v>60</v>
      </c>
      <c r="G73" s="29">
        <v>70.5</v>
      </c>
      <c r="H73" s="30">
        <f t="shared" si="11"/>
        <v>1216</v>
      </c>
      <c r="I73" s="12"/>
      <c r="J73">
        <f t="shared" si="18"/>
        <v>0</v>
      </c>
      <c r="K73" s="12" t="str">
        <f t="shared" si="19"/>
        <v>1 préparateur OBPB 500</v>
      </c>
      <c r="L73" s="34">
        <v>260</v>
      </c>
      <c r="M73" s="12">
        <f t="shared" si="13"/>
        <v>26</v>
      </c>
      <c r="N73" s="12">
        <f t="shared" si="16"/>
        <v>1.216</v>
      </c>
    </row>
    <row r="74" spans="1:14" x14ac:dyDescent="0.2">
      <c r="A74">
        <f t="shared" si="14"/>
        <v>26</v>
      </c>
      <c r="B74" s="12" t="str">
        <f>CONCATENATE("2 - ",B68)</f>
        <v>2 - OBLC 300</v>
      </c>
      <c r="C74" s="12">
        <f>2*C68</f>
        <v>590</v>
      </c>
      <c r="D74" s="12">
        <v>6</v>
      </c>
      <c r="E74" s="12">
        <v>80</v>
      </c>
      <c r="F74" s="13">
        <v>60</v>
      </c>
      <c r="G74" s="29">
        <f>2*G68</f>
        <v>64</v>
      </c>
      <c r="H74" s="30">
        <f t="shared" si="11"/>
        <v>1103</v>
      </c>
      <c r="I74" s="12"/>
      <c r="J74">
        <f t="shared" si="18"/>
        <v>0</v>
      </c>
      <c r="K74" s="12" t="str">
        <f t="shared" si="19"/>
        <v>2 préparateurs OBLC 300 raccordés en parallèle</v>
      </c>
      <c r="L74" s="34">
        <f>L68</f>
        <v>130</v>
      </c>
      <c r="M74" s="12">
        <f t="shared" si="13"/>
        <v>13</v>
      </c>
      <c r="N74" s="12">
        <f t="shared" si="16"/>
        <v>1.103</v>
      </c>
    </row>
    <row r="75" spans="1:14" x14ac:dyDescent="0.2">
      <c r="A75">
        <f t="shared" si="14"/>
        <v>26</v>
      </c>
      <c r="B75" s="12" t="str">
        <f>CONCATENATE("2 - ",B69)</f>
        <v>2 - OBPB 300</v>
      </c>
      <c r="C75" s="12">
        <f>2*C69</f>
        <v>580</v>
      </c>
      <c r="D75" s="12">
        <v>6</v>
      </c>
      <c r="E75" s="12">
        <v>80</v>
      </c>
      <c r="F75" s="13">
        <v>60</v>
      </c>
      <c r="G75" s="29">
        <f>2*G69</f>
        <v>88.6</v>
      </c>
      <c r="H75" s="30">
        <f t="shared" si="11"/>
        <v>1528</v>
      </c>
      <c r="I75" s="12"/>
      <c r="J75">
        <f t="shared" si="18"/>
        <v>0</v>
      </c>
      <c r="K75" s="12" t="str">
        <f t="shared" si="19"/>
        <v>2 préparateurs OBPB 300 raccordés en parallèle</v>
      </c>
      <c r="L75" s="34">
        <f>L69</f>
        <v>170</v>
      </c>
      <c r="M75" s="12">
        <f t="shared" si="13"/>
        <v>17</v>
      </c>
      <c r="N75" s="12">
        <f t="shared" si="16"/>
        <v>1.528</v>
      </c>
    </row>
    <row r="76" spans="1:14" x14ac:dyDescent="0.2">
      <c r="A76">
        <f t="shared" si="14"/>
        <v>26</v>
      </c>
      <c r="B76" s="12" t="s">
        <v>335</v>
      </c>
      <c r="C76" s="12">
        <v>650</v>
      </c>
      <c r="D76" s="12">
        <v>5.5</v>
      </c>
      <c r="E76" s="12">
        <v>80</v>
      </c>
      <c r="F76" s="13">
        <v>60</v>
      </c>
      <c r="G76" s="29">
        <v>95</v>
      </c>
      <c r="H76" s="30">
        <f t="shared" si="11"/>
        <v>1638</v>
      </c>
      <c r="I76" s="12"/>
      <c r="J76">
        <f t="shared" si="18"/>
        <v>0</v>
      </c>
      <c r="K76" s="12" t="str">
        <f t="shared" si="19"/>
        <v>1 préparateur OB 650</v>
      </c>
      <c r="L76" s="34">
        <v>240</v>
      </c>
      <c r="M76" s="12">
        <f t="shared" si="13"/>
        <v>24</v>
      </c>
      <c r="N76" s="12">
        <f t="shared" si="16"/>
        <v>1.6379999999999999</v>
      </c>
    </row>
    <row r="77" spans="1:14" x14ac:dyDescent="0.2">
      <c r="A77">
        <f t="shared" si="14"/>
        <v>26</v>
      </c>
      <c r="B77" s="12" t="str">
        <f>CONCATENATE("2 - ",B70)</f>
        <v>2 - OBLC 400</v>
      </c>
      <c r="C77" s="12">
        <f>2*C70</f>
        <v>780</v>
      </c>
      <c r="D77" s="12">
        <v>6</v>
      </c>
      <c r="E77" s="12">
        <v>80</v>
      </c>
      <c r="F77" s="13">
        <v>60</v>
      </c>
      <c r="G77" s="29">
        <f>2*G70</f>
        <v>91.8</v>
      </c>
      <c r="H77" s="30">
        <f t="shared" si="11"/>
        <v>1583</v>
      </c>
      <c r="I77" s="12"/>
      <c r="J77">
        <f t="shared" si="18"/>
        <v>0</v>
      </c>
      <c r="K77" s="12" t="str">
        <f>K41</f>
        <v>2 préparateurs OBLC 400 raccordés en parallèle</v>
      </c>
      <c r="L77" s="34">
        <f>L70</f>
        <v>170</v>
      </c>
      <c r="M77" s="12">
        <f t="shared" si="13"/>
        <v>17</v>
      </c>
      <c r="N77" s="12">
        <f t="shared" si="16"/>
        <v>1.583</v>
      </c>
    </row>
    <row r="78" spans="1:14" x14ac:dyDescent="0.2">
      <c r="A78">
        <f t="shared" si="14"/>
        <v>26</v>
      </c>
      <c r="B78" s="12" t="str">
        <f>CONCATENATE("2 - ",B71)</f>
        <v>2 - OBPB 400</v>
      </c>
      <c r="C78" s="12">
        <f>2*C71</f>
        <v>770</v>
      </c>
      <c r="D78" s="12">
        <v>6</v>
      </c>
      <c r="E78" s="12">
        <v>80</v>
      </c>
      <c r="F78" s="13">
        <v>60</v>
      </c>
      <c r="G78" s="29">
        <f>2*G71</f>
        <v>111.6</v>
      </c>
      <c r="H78" s="30">
        <f t="shared" si="11"/>
        <v>1924</v>
      </c>
      <c r="I78" s="12"/>
      <c r="J78">
        <f t="shared" si="18"/>
        <v>0</v>
      </c>
      <c r="K78" s="12" t="str">
        <f>K42</f>
        <v>2 préparateurs OBPB 400 raccordés en parallèle</v>
      </c>
      <c r="L78" s="34">
        <f>L71</f>
        <v>200</v>
      </c>
      <c r="M78" s="12">
        <f t="shared" si="13"/>
        <v>20</v>
      </c>
      <c r="N78" s="12">
        <f t="shared" si="16"/>
        <v>1.9239999999999999</v>
      </c>
    </row>
    <row r="79" spans="1:14" x14ac:dyDescent="0.2">
      <c r="A79">
        <f t="shared" si="14"/>
        <v>26</v>
      </c>
      <c r="B79" s="12" t="s">
        <v>336</v>
      </c>
      <c r="C79" s="12">
        <v>780</v>
      </c>
      <c r="D79" s="12">
        <v>5.5</v>
      </c>
      <c r="E79" s="12">
        <v>80</v>
      </c>
      <c r="F79" s="13">
        <v>60</v>
      </c>
      <c r="G79" s="32">
        <v>95</v>
      </c>
      <c r="H79" s="30">
        <f t="shared" si="11"/>
        <v>1638</v>
      </c>
      <c r="I79" s="12"/>
      <c r="J79">
        <f t="shared" si="18"/>
        <v>0</v>
      </c>
      <c r="K79" s="12" t="str">
        <f>K40</f>
        <v>1 préparateur OB 800</v>
      </c>
      <c r="L79" s="34">
        <v>240</v>
      </c>
      <c r="M79" s="12">
        <f t="shared" si="13"/>
        <v>24</v>
      </c>
      <c r="N79" s="12">
        <f t="shared" si="16"/>
        <v>1.6379999999999999</v>
      </c>
    </row>
    <row r="80" spans="1:14" x14ac:dyDescent="0.2">
      <c r="A80">
        <f t="shared" si="14"/>
        <v>26</v>
      </c>
      <c r="B80" s="12" t="str">
        <f>CONCATENATE("2 - ",B72)</f>
        <v>2 - OBLC 500</v>
      </c>
      <c r="C80" s="12">
        <f>2*C72</f>
        <v>990</v>
      </c>
      <c r="D80" s="12">
        <v>9</v>
      </c>
      <c r="E80" s="12">
        <v>80</v>
      </c>
      <c r="F80" s="13">
        <v>60</v>
      </c>
      <c r="G80" s="29">
        <f>3*G68</f>
        <v>96</v>
      </c>
      <c r="H80" s="30">
        <f t="shared" si="11"/>
        <v>1655</v>
      </c>
      <c r="I80" s="12"/>
      <c r="J80">
        <f t="shared" si="18"/>
        <v>0</v>
      </c>
      <c r="K80" s="12" t="str">
        <f t="shared" ref="K80:K97" si="20">K43</f>
        <v>3 préparateurs OBLC 300 raccordés en parallèle</v>
      </c>
      <c r="L80" s="34">
        <f>L68</f>
        <v>130</v>
      </c>
      <c r="M80" s="12">
        <f t="shared" si="13"/>
        <v>13</v>
      </c>
      <c r="N80" s="12">
        <f t="shared" si="16"/>
        <v>1.655</v>
      </c>
    </row>
    <row r="81" spans="1:14" x14ac:dyDescent="0.2">
      <c r="A81">
        <f t="shared" si="14"/>
        <v>26</v>
      </c>
      <c r="B81" s="12" t="s">
        <v>332</v>
      </c>
      <c r="C81" s="12">
        <f>3*C68</f>
        <v>885</v>
      </c>
      <c r="D81" s="12">
        <v>9</v>
      </c>
      <c r="E81" s="12">
        <v>80</v>
      </c>
      <c r="F81" s="13">
        <v>60</v>
      </c>
      <c r="G81" s="29">
        <f>3*G69</f>
        <v>132.89999999999998</v>
      </c>
      <c r="H81" s="30">
        <f t="shared" si="11"/>
        <v>2291</v>
      </c>
      <c r="I81" s="12"/>
      <c r="J81">
        <f t="shared" si="18"/>
        <v>0</v>
      </c>
      <c r="K81" s="12" t="str">
        <f t="shared" si="20"/>
        <v>3 préparateurs OBPB 300 raccordés en parallèle</v>
      </c>
      <c r="L81" s="34">
        <f>L69</f>
        <v>170</v>
      </c>
      <c r="M81" s="12">
        <f t="shared" si="13"/>
        <v>17</v>
      </c>
      <c r="N81" s="12">
        <f t="shared" si="16"/>
        <v>2.2909999999999999</v>
      </c>
    </row>
    <row r="82" spans="1:14" x14ac:dyDescent="0.2">
      <c r="A82">
        <f t="shared" si="14"/>
        <v>26</v>
      </c>
      <c r="B82" s="12" t="s">
        <v>337</v>
      </c>
      <c r="C82" s="12">
        <v>980</v>
      </c>
      <c r="D82" s="12">
        <v>6</v>
      </c>
      <c r="E82" s="12">
        <v>80</v>
      </c>
      <c r="F82" s="13">
        <v>60</v>
      </c>
      <c r="G82" s="29">
        <v>104.5</v>
      </c>
      <c r="H82" s="30">
        <f t="shared" si="11"/>
        <v>1802</v>
      </c>
      <c r="I82" s="12"/>
      <c r="J82">
        <f t="shared" si="18"/>
        <v>0</v>
      </c>
      <c r="K82" s="12" t="str">
        <f t="shared" si="20"/>
        <v>1 préparateur OB 1000</v>
      </c>
      <c r="L82" s="34">
        <v>360</v>
      </c>
      <c r="M82" s="12">
        <f t="shared" si="13"/>
        <v>36</v>
      </c>
      <c r="N82" s="12">
        <f t="shared" si="16"/>
        <v>1.802</v>
      </c>
    </row>
    <row r="83" spans="1:14" x14ac:dyDescent="0.2">
      <c r="A83">
        <f t="shared" si="14"/>
        <v>26</v>
      </c>
      <c r="B83" s="12" t="str">
        <f>CONCATENATE("2 - ",B72)</f>
        <v>2 - OBLC 500</v>
      </c>
      <c r="C83" s="12">
        <f>2*C72</f>
        <v>990</v>
      </c>
      <c r="D83" s="12">
        <v>6</v>
      </c>
      <c r="E83" s="12">
        <v>80</v>
      </c>
      <c r="F83" s="13">
        <v>60</v>
      </c>
      <c r="G83" s="29">
        <f>2*G72</f>
        <v>108.2</v>
      </c>
      <c r="H83" s="30">
        <f t="shared" si="11"/>
        <v>1866</v>
      </c>
      <c r="I83" s="12"/>
      <c r="J83">
        <f t="shared" si="18"/>
        <v>0</v>
      </c>
      <c r="K83" s="12" t="str">
        <f t="shared" si="20"/>
        <v>2 préparateurs OBLC 500 raccordés en parallèle</v>
      </c>
      <c r="L83" s="34">
        <f>L72</f>
        <v>200</v>
      </c>
      <c r="M83" s="12">
        <f t="shared" si="13"/>
        <v>20</v>
      </c>
      <c r="N83" s="12">
        <f t="shared" si="16"/>
        <v>1.8660000000000001</v>
      </c>
    </row>
    <row r="84" spans="1:14" x14ac:dyDescent="0.2">
      <c r="A84">
        <f t="shared" si="14"/>
        <v>26</v>
      </c>
      <c r="B84" s="12" t="str">
        <f>CONCATENATE("2 - ",B73)</f>
        <v>2 - OBPB 500</v>
      </c>
      <c r="C84" s="12">
        <f>2*C73</f>
        <v>970</v>
      </c>
      <c r="D84" s="12">
        <v>6</v>
      </c>
      <c r="E84" s="12">
        <v>80</v>
      </c>
      <c r="F84" s="13">
        <v>60</v>
      </c>
      <c r="G84" s="29">
        <f>2*G73</f>
        <v>141</v>
      </c>
      <c r="H84" s="30">
        <f t="shared" si="11"/>
        <v>2431</v>
      </c>
      <c r="I84" s="12"/>
      <c r="J84">
        <f t="shared" si="18"/>
        <v>0</v>
      </c>
      <c r="K84" s="12" t="str">
        <f t="shared" si="20"/>
        <v>2 préparateurs OBPB 500 raccordés en parallèle</v>
      </c>
      <c r="L84" s="34">
        <f>L73</f>
        <v>260</v>
      </c>
      <c r="M84" s="12">
        <f t="shared" si="13"/>
        <v>26</v>
      </c>
      <c r="N84" s="12">
        <f t="shared" si="16"/>
        <v>2.431</v>
      </c>
    </row>
    <row r="85" spans="1:14" x14ac:dyDescent="0.2">
      <c r="A85">
        <f t="shared" si="14"/>
        <v>26</v>
      </c>
      <c r="B85" s="12" t="s">
        <v>325</v>
      </c>
      <c r="C85" s="12">
        <f>3*C70</f>
        <v>1170</v>
      </c>
      <c r="D85" s="12">
        <v>9</v>
      </c>
      <c r="E85" s="12">
        <v>80</v>
      </c>
      <c r="F85" s="13">
        <v>60</v>
      </c>
      <c r="G85" s="29">
        <f>3*G70</f>
        <v>137.69999999999999</v>
      </c>
      <c r="H85" s="30">
        <f t="shared" si="11"/>
        <v>2374</v>
      </c>
      <c r="I85" s="12"/>
      <c r="J85">
        <f t="shared" si="18"/>
        <v>0</v>
      </c>
      <c r="K85" s="12" t="str">
        <f t="shared" si="20"/>
        <v>3 préparateurs OBLC 400 raccordés en parallèle</v>
      </c>
      <c r="L85" s="34">
        <f>L70</f>
        <v>170</v>
      </c>
      <c r="M85" s="12">
        <f t="shared" si="13"/>
        <v>17</v>
      </c>
      <c r="N85" s="12">
        <f t="shared" si="16"/>
        <v>2.3740000000000001</v>
      </c>
    </row>
    <row r="86" spans="1:14" x14ac:dyDescent="0.2">
      <c r="A86">
        <f t="shared" si="14"/>
        <v>26</v>
      </c>
      <c r="B86" s="12" t="s">
        <v>333</v>
      </c>
      <c r="C86" s="12">
        <f>3*C71</f>
        <v>1155</v>
      </c>
      <c r="D86" s="12">
        <v>9</v>
      </c>
      <c r="E86" s="12">
        <v>80</v>
      </c>
      <c r="F86" s="13">
        <v>60</v>
      </c>
      <c r="G86" s="29">
        <f>3*G71</f>
        <v>167.39999999999998</v>
      </c>
      <c r="H86" s="30">
        <f t="shared" si="11"/>
        <v>2886</v>
      </c>
      <c r="I86" s="12"/>
      <c r="J86">
        <f t="shared" si="18"/>
        <v>0</v>
      </c>
      <c r="K86" s="12" t="str">
        <f t="shared" si="20"/>
        <v>3 préparateurs OBPB 400 raccordés en parallèle</v>
      </c>
      <c r="L86" s="34">
        <f>L71</f>
        <v>200</v>
      </c>
      <c r="M86" s="12">
        <f t="shared" si="13"/>
        <v>20</v>
      </c>
      <c r="N86" s="12">
        <f t="shared" si="16"/>
        <v>2.8860000000000001</v>
      </c>
    </row>
    <row r="87" spans="1:14" x14ac:dyDescent="0.2">
      <c r="A87">
        <f t="shared" si="14"/>
        <v>26</v>
      </c>
      <c r="B87" s="12" t="s">
        <v>338</v>
      </c>
      <c r="C87" s="12">
        <f>2*C76</f>
        <v>1300</v>
      </c>
      <c r="D87" s="12">
        <f>2*D76</f>
        <v>11</v>
      </c>
      <c r="E87" s="12">
        <v>80</v>
      </c>
      <c r="F87" s="13">
        <v>60</v>
      </c>
      <c r="G87" s="32">
        <f>2*G76</f>
        <v>190</v>
      </c>
      <c r="H87" s="30">
        <f t="shared" si="11"/>
        <v>3276</v>
      </c>
      <c r="I87" s="12"/>
      <c r="J87">
        <f t="shared" si="18"/>
        <v>0</v>
      </c>
      <c r="K87" s="12" t="str">
        <f t="shared" si="20"/>
        <v>2 préparateurs OB 650</v>
      </c>
      <c r="L87" s="34">
        <f>+L76</f>
        <v>240</v>
      </c>
      <c r="M87" s="12">
        <f t="shared" si="13"/>
        <v>24</v>
      </c>
      <c r="N87" s="12">
        <f>H87/1000</f>
        <v>3.2759999999999998</v>
      </c>
    </row>
    <row r="88" spans="1:14" x14ac:dyDescent="0.2">
      <c r="A88">
        <f t="shared" si="14"/>
        <v>26</v>
      </c>
      <c r="B88" s="12" t="s">
        <v>339</v>
      </c>
      <c r="C88" s="12">
        <v>1500</v>
      </c>
      <c r="D88" s="12">
        <v>7.5</v>
      </c>
      <c r="E88" s="12">
        <v>80</v>
      </c>
      <c r="F88" s="13">
        <v>60</v>
      </c>
      <c r="G88" s="32">
        <v>130.6</v>
      </c>
      <c r="H88" s="30">
        <f t="shared" si="11"/>
        <v>2252</v>
      </c>
      <c r="I88" s="12"/>
      <c r="J88">
        <f t="shared" si="18"/>
        <v>0</v>
      </c>
      <c r="K88" s="12" t="str">
        <f t="shared" si="20"/>
        <v>1 préparateur OB 1500</v>
      </c>
      <c r="L88" s="34">
        <v>610</v>
      </c>
      <c r="M88" s="12">
        <f t="shared" si="13"/>
        <v>61</v>
      </c>
      <c r="N88" s="12">
        <f t="shared" ref="N88:N137" si="21">H88/1000</f>
        <v>2.2519999999999998</v>
      </c>
    </row>
    <row r="89" spans="1:14" x14ac:dyDescent="0.2">
      <c r="A89">
        <f t="shared" si="14"/>
        <v>26</v>
      </c>
      <c r="B89" s="12" t="s">
        <v>326</v>
      </c>
      <c r="C89" s="12">
        <f>3*C72</f>
        <v>1485</v>
      </c>
      <c r="D89" s="12">
        <v>9</v>
      </c>
      <c r="E89" s="12">
        <v>80</v>
      </c>
      <c r="F89" s="13">
        <v>60</v>
      </c>
      <c r="G89" s="32">
        <f>3*G72</f>
        <v>162.30000000000001</v>
      </c>
      <c r="H89" s="30">
        <f t="shared" si="11"/>
        <v>2798</v>
      </c>
      <c r="I89" s="12"/>
      <c r="J89">
        <f t="shared" si="18"/>
        <v>0</v>
      </c>
      <c r="K89" s="12" t="str">
        <f t="shared" si="20"/>
        <v>3 préparateurs OBLC 500 raccordés en parallèle</v>
      </c>
      <c r="L89" s="34">
        <f>L72</f>
        <v>200</v>
      </c>
      <c r="M89" s="12">
        <f t="shared" si="13"/>
        <v>20</v>
      </c>
      <c r="N89" s="12">
        <f t="shared" si="21"/>
        <v>2.798</v>
      </c>
    </row>
    <row r="90" spans="1:14" x14ac:dyDescent="0.2">
      <c r="A90">
        <f t="shared" si="14"/>
        <v>26</v>
      </c>
      <c r="B90" s="12" t="s">
        <v>334</v>
      </c>
      <c r="C90" s="12">
        <f>3*C73</f>
        <v>1455</v>
      </c>
      <c r="D90" s="12">
        <v>9</v>
      </c>
      <c r="E90" s="12">
        <v>80</v>
      </c>
      <c r="F90" s="13">
        <v>60</v>
      </c>
      <c r="G90" s="32">
        <f>3*G73</f>
        <v>211.5</v>
      </c>
      <c r="H90" s="30">
        <f t="shared" si="11"/>
        <v>3647</v>
      </c>
      <c r="I90" s="12"/>
      <c r="J90">
        <f t="shared" si="18"/>
        <v>0</v>
      </c>
      <c r="K90" s="12" t="str">
        <f t="shared" si="20"/>
        <v>3 préparateurs OBPB 500 raccordés en parallèle</v>
      </c>
      <c r="L90" s="34">
        <f>L73</f>
        <v>260</v>
      </c>
      <c r="M90" s="12">
        <f t="shared" si="13"/>
        <v>26</v>
      </c>
      <c r="N90" s="12">
        <f t="shared" si="21"/>
        <v>3.6469999999999998</v>
      </c>
    </row>
    <row r="91" spans="1:14" x14ac:dyDescent="0.2">
      <c r="A91">
        <f t="shared" si="14"/>
        <v>26</v>
      </c>
      <c r="B91" s="12" t="s">
        <v>340</v>
      </c>
      <c r="C91" s="12">
        <v>1560</v>
      </c>
      <c r="D91" s="12">
        <f>2*D79</f>
        <v>11</v>
      </c>
      <c r="E91" s="12">
        <v>80</v>
      </c>
      <c r="F91" s="13">
        <v>60</v>
      </c>
      <c r="G91" s="32">
        <f>2*G79</f>
        <v>190</v>
      </c>
      <c r="H91" s="30">
        <f t="shared" ref="H91:H100" si="22">ROUND(G91*1000/1.16/50,0)</f>
        <v>3276</v>
      </c>
      <c r="I91" s="12"/>
      <c r="J91">
        <f t="shared" ref="J91:J122" si="23">IF(Tecs=F91,1,0)*IF(E91=$B$1,1,0)*IF(C91&gt;=$B$2,1,0)*IF(G91&gt;=$B$3,1,0)</f>
        <v>0</v>
      </c>
      <c r="K91" s="12" t="str">
        <f t="shared" si="20"/>
        <v>2 préparateurs OB 800 raccordés en parallèle</v>
      </c>
      <c r="L91" s="34">
        <f>2*L79</f>
        <v>480</v>
      </c>
      <c r="M91" s="12">
        <f t="shared" ref="M91:M137" si="24">L91/10</f>
        <v>48</v>
      </c>
      <c r="N91" s="12">
        <f t="shared" si="21"/>
        <v>3.2759999999999998</v>
      </c>
    </row>
    <row r="92" spans="1:14" x14ac:dyDescent="0.2">
      <c r="A92">
        <f t="shared" ref="A92:A137" si="25">J92+A91</f>
        <v>26</v>
      </c>
      <c r="B92" s="12" t="s">
        <v>341</v>
      </c>
      <c r="C92" s="12">
        <f>3*C76</f>
        <v>1950</v>
      </c>
      <c r="D92" s="12">
        <f>3*D76</f>
        <v>16.5</v>
      </c>
      <c r="E92" s="12">
        <v>80</v>
      </c>
      <c r="F92" s="13">
        <v>60</v>
      </c>
      <c r="G92" s="32">
        <f>3*G76</f>
        <v>285</v>
      </c>
      <c r="H92" s="30">
        <f t="shared" si="22"/>
        <v>4914</v>
      </c>
      <c r="I92" s="12"/>
      <c r="J92">
        <f t="shared" si="23"/>
        <v>0</v>
      </c>
      <c r="K92" s="12" t="str">
        <f t="shared" si="20"/>
        <v>3 préparateurs OB 650</v>
      </c>
      <c r="L92" s="34">
        <v>240</v>
      </c>
      <c r="M92" s="12">
        <f t="shared" si="24"/>
        <v>24</v>
      </c>
      <c r="N92" s="12">
        <f t="shared" si="21"/>
        <v>4.9139999999999997</v>
      </c>
    </row>
    <row r="93" spans="1:14" x14ac:dyDescent="0.2">
      <c r="A93">
        <f t="shared" si="25"/>
        <v>26</v>
      </c>
      <c r="B93" s="12" t="s">
        <v>343</v>
      </c>
      <c r="C93" s="12">
        <v>1960</v>
      </c>
      <c r="D93" s="12">
        <f>2*D82</f>
        <v>12</v>
      </c>
      <c r="E93" s="12">
        <v>80</v>
      </c>
      <c r="F93" s="13">
        <v>60</v>
      </c>
      <c r="G93" s="32">
        <f>2*G82</f>
        <v>209</v>
      </c>
      <c r="H93" s="30">
        <f>ROUND(G93*1000/1.16/50,0)</f>
        <v>3603</v>
      </c>
      <c r="I93" s="12"/>
      <c r="J93">
        <f>IF(Tecs=F93,1,0)*IF(E93=$B$1,1,0)*IF(C93&gt;=$B$2,1,0)*IF(G93&gt;=$B$3,1,0)</f>
        <v>0</v>
      </c>
      <c r="K93" s="12" t="str">
        <f t="shared" si="20"/>
        <v>2 préparateurs OB 1000 raccordés en parallèle</v>
      </c>
      <c r="L93" s="34">
        <f>+L82</f>
        <v>360</v>
      </c>
      <c r="M93" s="12">
        <f>L93/10</f>
        <v>36</v>
      </c>
      <c r="N93" s="12">
        <f>H93/1000</f>
        <v>3.6030000000000002</v>
      </c>
    </row>
    <row r="94" spans="1:14" x14ac:dyDescent="0.2">
      <c r="A94">
        <f t="shared" si="25"/>
        <v>26</v>
      </c>
      <c r="B94" s="12" t="s">
        <v>342</v>
      </c>
      <c r="C94" s="12">
        <v>2000</v>
      </c>
      <c r="D94" s="12">
        <v>7.5</v>
      </c>
      <c r="E94" s="12">
        <v>80</v>
      </c>
      <c r="F94" s="13">
        <v>60</v>
      </c>
      <c r="G94" s="32">
        <v>130.6</v>
      </c>
      <c r="H94" s="30">
        <f t="shared" si="22"/>
        <v>2252</v>
      </c>
      <c r="I94" s="12"/>
      <c r="J94">
        <f t="shared" si="23"/>
        <v>0</v>
      </c>
      <c r="K94" s="12" t="str">
        <f t="shared" si="20"/>
        <v>1 préparateur OB 2000</v>
      </c>
      <c r="L94" s="34">
        <v>610</v>
      </c>
      <c r="M94" s="12">
        <f t="shared" si="24"/>
        <v>61</v>
      </c>
      <c r="N94" s="12">
        <f t="shared" si="21"/>
        <v>2.2519999999999998</v>
      </c>
    </row>
    <row r="95" spans="1:14" x14ac:dyDescent="0.2">
      <c r="A95">
        <f t="shared" si="25"/>
        <v>26</v>
      </c>
      <c r="B95" s="12" t="s">
        <v>344</v>
      </c>
      <c r="C95" s="12">
        <v>2500</v>
      </c>
      <c r="D95" s="12">
        <v>7.5</v>
      </c>
      <c r="E95" s="12">
        <v>80</v>
      </c>
      <c r="F95" s="13">
        <v>60</v>
      </c>
      <c r="G95" s="32">
        <v>130.6</v>
      </c>
      <c r="H95" s="30">
        <f t="shared" si="22"/>
        <v>2252</v>
      </c>
      <c r="I95" s="12"/>
      <c r="J95">
        <f t="shared" si="23"/>
        <v>0</v>
      </c>
      <c r="K95" s="12" t="str">
        <f t="shared" si="20"/>
        <v>1 préparateur OB 2500</v>
      </c>
      <c r="L95" s="34">
        <v>610</v>
      </c>
      <c r="M95" s="12">
        <f t="shared" si="24"/>
        <v>61</v>
      </c>
      <c r="N95" s="12">
        <f t="shared" si="21"/>
        <v>2.2519999999999998</v>
      </c>
    </row>
    <row r="96" spans="1:14" x14ac:dyDescent="0.2">
      <c r="A96">
        <f t="shared" si="25"/>
        <v>26</v>
      </c>
      <c r="B96" s="12" t="s">
        <v>345</v>
      </c>
      <c r="C96" s="12">
        <v>3000</v>
      </c>
      <c r="D96" s="12">
        <f>2*D88</f>
        <v>15</v>
      </c>
      <c r="E96" s="12">
        <v>80</v>
      </c>
      <c r="F96" s="13">
        <v>60</v>
      </c>
      <c r="G96" s="32">
        <f>2*G88</f>
        <v>261.2</v>
      </c>
      <c r="H96" s="30">
        <f t="shared" si="22"/>
        <v>4503</v>
      </c>
      <c r="I96" s="12"/>
      <c r="J96">
        <f t="shared" si="23"/>
        <v>0</v>
      </c>
      <c r="K96" s="12" t="str">
        <f t="shared" si="20"/>
        <v>2 préparateurs OB 1500 raccordés en parallèle</v>
      </c>
      <c r="L96" s="34">
        <v>610</v>
      </c>
      <c r="M96" s="12">
        <f t="shared" si="24"/>
        <v>61</v>
      </c>
      <c r="N96" s="12">
        <f t="shared" si="21"/>
        <v>4.5030000000000001</v>
      </c>
    </row>
    <row r="97" spans="1:14" x14ac:dyDescent="0.2">
      <c r="A97">
        <f t="shared" si="25"/>
        <v>26</v>
      </c>
      <c r="B97" s="12" t="s">
        <v>346</v>
      </c>
      <c r="C97" s="12">
        <v>3000</v>
      </c>
      <c r="D97" s="12">
        <v>7.5</v>
      </c>
      <c r="E97" s="12">
        <v>80</v>
      </c>
      <c r="F97" s="13">
        <v>60</v>
      </c>
      <c r="G97" s="32">
        <v>130.6</v>
      </c>
      <c r="H97" s="30">
        <f t="shared" si="22"/>
        <v>2252</v>
      </c>
      <c r="I97" s="12"/>
      <c r="J97">
        <f t="shared" si="23"/>
        <v>0</v>
      </c>
      <c r="K97" s="12" t="str">
        <f t="shared" si="20"/>
        <v>1 préparateur OB 3000</v>
      </c>
      <c r="L97" s="34">
        <v>610</v>
      </c>
      <c r="M97" s="12">
        <f t="shared" si="24"/>
        <v>61</v>
      </c>
      <c r="N97" s="12">
        <f t="shared" si="21"/>
        <v>2.2519999999999998</v>
      </c>
    </row>
    <row r="98" spans="1:14" x14ac:dyDescent="0.2">
      <c r="A98">
        <f t="shared" si="25"/>
        <v>26</v>
      </c>
      <c r="B98" s="12" t="s">
        <v>347</v>
      </c>
      <c r="C98" s="12">
        <v>4000</v>
      </c>
      <c r="D98" s="12">
        <f>2*D94</f>
        <v>15</v>
      </c>
      <c r="E98" s="12">
        <v>80</v>
      </c>
      <c r="F98" s="13">
        <v>60</v>
      </c>
      <c r="G98" s="32">
        <f>2*G94</f>
        <v>261.2</v>
      </c>
      <c r="H98" s="30">
        <f t="shared" si="22"/>
        <v>4503</v>
      </c>
      <c r="I98" s="12"/>
      <c r="J98">
        <f t="shared" si="23"/>
        <v>0</v>
      </c>
      <c r="K98" s="12" t="str">
        <f>+K61</f>
        <v>2 préparateurs OB 2000 raccordés en parallèle</v>
      </c>
      <c r="L98" s="34">
        <f>+L94</f>
        <v>610</v>
      </c>
      <c r="M98" s="12">
        <f>L98/10</f>
        <v>61</v>
      </c>
      <c r="N98" s="12">
        <f>H98/1000</f>
        <v>4.5030000000000001</v>
      </c>
    </row>
    <row r="99" spans="1:14" x14ac:dyDescent="0.2">
      <c r="A99">
        <f t="shared" si="25"/>
        <v>26</v>
      </c>
      <c r="B99" s="12" t="s">
        <v>348</v>
      </c>
      <c r="C99" s="12">
        <v>5000</v>
      </c>
      <c r="D99" s="12">
        <f>2*D95</f>
        <v>15</v>
      </c>
      <c r="E99" s="12">
        <v>80</v>
      </c>
      <c r="F99" s="13">
        <v>60</v>
      </c>
      <c r="G99" s="32">
        <f>2*G95</f>
        <v>261.2</v>
      </c>
      <c r="H99" s="30">
        <f t="shared" si="22"/>
        <v>4503</v>
      </c>
      <c r="I99" s="12"/>
      <c r="J99">
        <f t="shared" si="23"/>
        <v>0</v>
      </c>
      <c r="K99" s="12" t="str">
        <f t="shared" ref="K99:K113" si="26">K62</f>
        <v>2 préparateurs OB 2500 raccordés en parallèle</v>
      </c>
      <c r="L99" s="34">
        <v>610</v>
      </c>
      <c r="M99" s="12">
        <f t="shared" si="24"/>
        <v>61</v>
      </c>
      <c r="N99" s="12">
        <f t="shared" si="21"/>
        <v>4.5030000000000001</v>
      </c>
    </row>
    <row r="100" spans="1:14" ht="13.5" thickBot="1" x14ac:dyDescent="0.25">
      <c r="A100">
        <f t="shared" si="25"/>
        <v>26</v>
      </c>
      <c r="B100" s="12" t="s">
        <v>349</v>
      </c>
      <c r="C100" s="12">
        <v>6000</v>
      </c>
      <c r="D100" s="12">
        <f>2*D97</f>
        <v>15</v>
      </c>
      <c r="E100" s="12">
        <v>80</v>
      </c>
      <c r="F100" s="13">
        <v>60</v>
      </c>
      <c r="G100" s="32">
        <f>2*G97</f>
        <v>261.2</v>
      </c>
      <c r="H100" s="30">
        <f t="shared" si="22"/>
        <v>4503</v>
      </c>
      <c r="I100" s="12"/>
      <c r="J100">
        <f t="shared" si="23"/>
        <v>0</v>
      </c>
      <c r="K100" s="12" t="str">
        <f t="shared" si="26"/>
        <v>2 préparateurs OB 3000 raccordés en parallèle</v>
      </c>
      <c r="L100" s="34">
        <v>610</v>
      </c>
      <c r="M100" s="12">
        <f t="shared" si="24"/>
        <v>61</v>
      </c>
      <c r="N100" s="12">
        <f t="shared" si="21"/>
        <v>4.5030000000000001</v>
      </c>
    </row>
    <row r="101" spans="1:14" x14ac:dyDescent="0.2">
      <c r="A101">
        <f t="shared" si="25"/>
        <v>26</v>
      </c>
      <c r="B101" s="9" t="s">
        <v>320</v>
      </c>
      <c r="C101" s="9">
        <v>145</v>
      </c>
      <c r="D101" s="9">
        <v>3</v>
      </c>
      <c r="E101" s="9">
        <v>90</v>
      </c>
      <c r="F101" s="4">
        <v>60</v>
      </c>
      <c r="G101" s="39">
        <v>28.1</v>
      </c>
      <c r="H101" s="28">
        <f>ROUND(G101*1000/1.16/50,0)</f>
        <v>484</v>
      </c>
      <c r="I101" s="9"/>
      <c r="J101">
        <f t="shared" si="23"/>
        <v>0</v>
      </c>
      <c r="K101" s="12" t="str">
        <f t="shared" si="26"/>
        <v>1 préparateur OBLC 150</v>
      </c>
      <c r="L101" s="35">
        <v>110</v>
      </c>
      <c r="M101" s="9">
        <f t="shared" si="24"/>
        <v>11</v>
      </c>
      <c r="N101" s="9">
        <f t="shared" si="21"/>
        <v>0.48399999999999999</v>
      </c>
    </row>
    <row r="102" spans="1:14" x14ac:dyDescent="0.2">
      <c r="A102">
        <f t="shared" si="25"/>
        <v>26</v>
      </c>
      <c r="B102" s="9" t="s">
        <v>327</v>
      </c>
      <c r="C102" s="9">
        <v>145</v>
      </c>
      <c r="D102" s="9">
        <v>3</v>
      </c>
      <c r="E102" s="9">
        <v>90</v>
      </c>
      <c r="F102" s="4">
        <v>60</v>
      </c>
      <c r="G102" s="32">
        <v>31.3</v>
      </c>
      <c r="H102" s="30">
        <f>ROUND(G102*1000/1.16/50,0)</f>
        <v>540</v>
      </c>
      <c r="I102" s="9"/>
      <c r="J102">
        <f t="shared" si="23"/>
        <v>0</v>
      </c>
      <c r="K102" s="12" t="str">
        <f t="shared" si="26"/>
        <v>1 préparateur OBPB 150</v>
      </c>
      <c r="L102" s="34">
        <v>120</v>
      </c>
      <c r="M102" s="9">
        <f t="shared" si="24"/>
        <v>12</v>
      </c>
      <c r="N102" s="9">
        <f t="shared" si="21"/>
        <v>0.54</v>
      </c>
    </row>
    <row r="103" spans="1:14" x14ac:dyDescent="0.2">
      <c r="A103">
        <f t="shared" si="25"/>
        <v>26</v>
      </c>
      <c r="B103" s="9" t="s">
        <v>321</v>
      </c>
      <c r="C103" s="9">
        <v>195</v>
      </c>
      <c r="D103" s="9">
        <v>3</v>
      </c>
      <c r="E103" s="9">
        <v>90</v>
      </c>
      <c r="F103" s="4">
        <v>60</v>
      </c>
      <c r="G103" s="32">
        <v>35.6</v>
      </c>
      <c r="H103" s="30">
        <f t="shared" ref="H103:H137" si="27">ROUND(G103*1000/1.16/50,0)</f>
        <v>614</v>
      </c>
      <c r="I103" s="9"/>
      <c r="J103">
        <f t="shared" si="23"/>
        <v>0</v>
      </c>
      <c r="K103" s="12" t="str">
        <f t="shared" si="26"/>
        <v>1 préparateur OBLC 200</v>
      </c>
      <c r="L103" s="34">
        <v>120</v>
      </c>
      <c r="M103" s="9">
        <f t="shared" si="24"/>
        <v>12</v>
      </c>
      <c r="N103" s="9">
        <f t="shared" si="21"/>
        <v>0.61399999999999999</v>
      </c>
    </row>
    <row r="104" spans="1:14" x14ac:dyDescent="0.2">
      <c r="A104">
        <f t="shared" si="25"/>
        <v>26</v>
      </c>
      <c r="B104" s="9" t="s">
        <v>328</v>
      </c>
      <c r="C104" s="9">
        <v>195</v>
      </c>
      <c r="D104" s="9">
        <v>3</v>
      </c>
      <c r="E104" s="9">
        <v>90</v>
      </c>
      <c r="F104" s="4">
        <v>60</v>
      </c>
      <c r="G104" s="32">
        <v>42.1</v>
      </c>
      <c r="H104" s="30">
        <f t="shared" si="27"/>
        <v>726</v>
      </c>
      <c r="I104" s="9"/>
      <c r="J104">
        <f t="shared" si="23"/>
        <v>0</v>
      </c>
      <c r="K104" s="12" t="str">
        <f t="shared" si="26"/>
        <v>1 préparateur OBPB 200</v>
      </c>
      <c r="L104" s="34">
        <v>140</v>
      </c>
      <c r="M104" s="9">
        <f t="shared" si="24"/>
        <v>14</v>
      </c>
      <c r="N104" s="9">
        <f t="shared" si="21"/>
        <v>0.72599999999999998</v>
      </c>
    </row>
    <row r="105" spans="1:14" x14ac:dyDescent="0.2">
      <c r="A105">
        <f t="shared" si="25"/>
        <v>26</v>
      </c>
      <c r="B105" s="9" t="s">
        <v>322</v>
      </c>
      <c r="C105" s="9">
        <v>295</v>
      </c>
      <c r="D105" s="9">
        <v>3</v>
      </c>
      <c r="E105" s="9">
        <v>90</v>
      </c>
      <c r="F105" s="4">
        <v>60</v>
      </c>
      <c r="G105" s="32">
        <v>42.1</v>
      </c>
      <c r="H105" s="30">
        <f t="shared" si="27"/>
        <v>726</v>
      </c>
      <c r="I105" s="9"/>
      <c r="J105">
        <f t="shared" si="23"/>
        <v>0</v>
      </c>
      <c r="K105" s="12" t="str">
        <f t="shared" si="26"/>
        <v>1 préparateur OBLC 300</v>
      </c>
      <c r="L105" s="34">
        <v>130</v>
      </c>
      <c r="M105" s="9">
        <f t="shared" si="24"/>
        <v>13</v>
      </c>
      <c r="N105" s="9">
        <f t="shared" si="21"/>
        <v>0.72599999999999998</v>
      </c>
    </row>
    <row r="106" spans="1:14" x14ac:dyDescent="0.2">
      <c r="A106">
        <f t="shared" si="25"/>
        <v>26</v>
      </c>
      <c r="B106" s="9" t="s">
        <v>329</v>
      </c>
      <c r="C106" s="9">
        <v>290</v>
      </c>
      <c r="D106" s="9">
        <v>3</v>
      </c>
      <c r="E106" s="9">
        <v>90</v>
      </c>
      <c r="F106" s="4">
        <v>60</v>
      </c>
      <c r="G106" s="32">
        <v>58.3</v>
      </c>
      <c r="H106" s="30">
        <f t="shared" si="27"/>
        <v>1005</v>
      </c>
      <c r="I106" s="9"/>
      <c r="J106">
        <f t="shared" si="23"/>
        <v>0</v>
      </c>
      <c r="K106" s="12" t="str">
        <f t="shared" si="26"/>
        <v>1 préparateur OBPB 300</v>
      </c>
      <c r="L106" s="34">
        <v>170</v>
      </c>
      <c r="M106" s="9">
        <f t="shared" si="24"/>
        <v>17</v>
      </c>
      <c r="N106" s="9">
        <f t="shared" si="21"/>
        <v>1.0049999999999999</v>
      </c>
    </row>
    <row r="107" spans="1:14" x14ac:dyDescent="0.2">
      <c r="A107">
        <f t="shared" si="25"/>
        <v>26</v>
      </c>
      <c r="B107" s="9" t="s">
        <v>323</v>
      </c>
      <c r="C107" s="9">
        <v>390</v>
      </c>
      <c r="D107" s="9">
        <v>3</v>
      </c>
      <c r="E107" s="9">
        <v>90</v>
      </c>
      <c r="F107" s="4">
        <v>60</v>
      </c>
      <c r="G107" s="32">
        <v>60.5</v>
      </c>
      <c r="H107" s="30">
        <f t="shared" si="27"/>
        <v>1043</v>
      </c>
      <c r="I107" s="9"/>
      <c r="J107">
        <f t="shared" si="23"/>
        <v>0</v>
      </c>
      <c r="K107" s="12" t="str">
        <f t="shared" si="26"/>
        <v>1 préparateur OBLC 400</v>
      </c>
      <c r="L107" s="34">
        <v>170</v>
      </c>
      <c r="M107" s="9">
        <f t="shared" si="24"/>
        <v>17</v>
      </c>
      <c r="N107" s="9">
        <f t="shared" si="21"/>
        <v>1.0429999999999999</v>
      </c>
    </row>
    <row r="108" spans="1:14" x14ac:dyDescent="0.2">
      <c r="A108">
        <f t="shared" si="25"/>
        <v>26</v>
      </c>
      <c r="B108" s="9" t="s">
        <v>330</v>
      </c>
      <c r="C108" s="9">
        <v>385</v>
      </c>
      <c r="D108" s="9">
        <v>3</v>
      </c>
      <c r="E108" s="9">
        <v>90</v>
      </c>
      <c r="F108" s="4">
        <v>60</v>
      </c>
      <c r="G108" s="32">
        <v>73.400000000000006</v>
      </c>
      <c r="H108" s="30">
        <f t="shared" si="27"/>
        <v>1266</v>
      </c>
      <c r="I108" s="9"/>
      <c r="J108">
        <f t="shared" si="23"/>
        <v>0</v>
      </c>
      <c r="K108" s="12" t="str">
        <f t="shared" si="26"/>
        <v>1 préparateur OBPB 400</v>
      </c>
      <c r="L108" s="34">
        <v>200</v>
      </c>
      <c r="M108" s="9">
        <f t="shared" si="24"/>
        <v>20</v>
      </c>
      <c r="N108" s="9">
        <f t="shared" si="21"/>
        <v>1.266</v>
      </c>
    </row>
    <row r="109" spans="1:14" x14ac:dyDescent="0.2">
      <c r="A109">
        <f t="shared" si="25"/>
        <v>26</v>
      </c>
      <c r="B109" s="9" t="s">
        <v>324</v>
      </c>
      <c r="C109" s="9">
        <v>495</v>
      </c>
      <c r="D109" s="9">
        <v>3</v>
      </c>
      <c r="E109" s="9">
        <v>90</v>
      </c>
      <c r="F109" s="4">
        <v>60</v>
      </c>
      <c r="G109" s="32">
        <v>71.3</v>
      </c>
      <c r="H109" s="30">
        <f t="shared" si="27"/>
        <v>1229</v>
      </c>
      <c r="I109" s="9"/>
      <c r="J109">
        <f t="shared" si="23"/>
        <v>0</v>
      </c>
      <c r="K109" s="12" t="str">
        <f t="shared" si="26"/>
        <v>1 préparateur OBLC 500</v>
      </c>
      <c r="L109" s="34">
        <v>200</v>
      </c>
      <c r="M109" s="9">
        <f t="shared" si="24"/>
        <v>20</v>
      </c>
      <c r="N109" s="9">
        <f t="shared" si="21"/>
        <v>1.2290000000000001</v>
      </c>
    </row>
    <row r="110" spans="1:14" x14ac:dyDescent="0.2">
      <c r="A110">
        <f t="shared" si="25"/>
        <v>26</v>
      </c>
      <c r="B110" s="9" t="s">
        <v>331</v>
      </c>
      <c r="C110" s="9">
        <v>485</v>
      </c>
      <c r="D110" s="9">
        <v>3</v>
      </c>
      <c r="E110" s="9">
        <v>90</v>
      </c>
      <c r="F110" s="4">
        <v>60</v>
      </c>
      <c r="G110" s="32">
        <v>92.9</v>
      </c>
      <c r="H110" s="30">
        <f t="shared" si="27"/>
        <v>1602</v>
      </c>
      <c r="I110" s="9"/>
      <c r="J110">
        <f t="shared" si="23"/>
        <v>0</v>
      </c>
      <c r="K110" s="12" t="str">
        <f t="shared" si="26"/>
        <v>1 préparateur OBPB 500</v>
      </c>
      <c r="L110" s="34">
        <v>260</v>
      </c>
      <c r="M110" s="9">
        <f t="shared" si="24"/>
        <v>26</v>
      </c>
      <c r="N110" s="9">
        <f t="shared" si="21"/>
        <v>1.6020000000000001</v>
      </c>
    </row>
    <row r="111" spans="1:14" x14ac:dyDescent="0.2">
      <c r="A111">
        <f t="shared" si="25"/>
        <v>26</v>
      </c>
      <c r="B111" s="9" t="str">
        <f>CONCATENATE("2 - ",B105)</f>
        <v>2 - OBLC 300</v>
      </c>
      <c r="C111" s="9">
        <f>2*C105</f>
        <v>590</v>
      </c>
      <c r="D111" s="9">
        <v>6</v>
      </c>
      <c r="E111" s="9">
        <v>90</v>
      </c>
      <c r="F111" s="4">
        <v>60</v>
      </c>
      <c r="G111" s="32">
        <v>84.2</v>
      </c>
      <c r="H111" s="30">
        <f t="shared" si="27"/>
        <v>1452</v>
      </c>
      <c r="I111" s="9"/>
      <c r="J111">
        <f t="shared" si="23"/>
        <v>0</v>
      </c>
      <c r="K111" s="12" t="str">
        <f t="shared" si="26"/>
        <v>2 préparateurs OBLC 300 raccordés en parallèle</v>
      </c>
      <c r="L111" s="34">
        <f>L105</f>
        <v>130</v>
      </c>
      <c r="M111" s="9">
        <f t="shared" si="24"/>
        <v>13</v>
      </c>
      <c r="N111" s="9">
        <f t="shared" si="21"/>
        <v>1.452</v>
      </c>
    </row>
    <row r="112" spans="1:14" x14ac:dyDescent="0.2">
      <c r="A112">
        <f t="shared" si="25"/>
        <v>26</v>
      </c>
      <c r="B112" s="9" t="str">
        <f>CONCATENATE("2 - ",B106)</f>
        <v>2 - OBPB 300</v>
      </c>
      <c r="C112" s="9">
        <f>2*C106</f>
        <v>580</v>
      </c>
      <c r="D112" s="9">
        <v>6</v>
      </c>
      <c r="E112" s="9">
        <v>90</v>
      </c>
      <c r="F112" s="4">
        <v>60</v>
      </c>
      <c r="G112" s="32">
        <f>2*G106</f>
        <v>116.6</v>
      </c>
      <c r="H112" s="30">
        <f t="shared" si="27"/>
        <v>2010</v>
      </c>
      <c r="I112" s="9"/>
      <c r="J112">
        <f t="shared" si="23"/>
        <v>0</v>
      </c>
      <c r="K112" s="12" t="str">
        <f t="shared" si="26"/>
        <v>2 préparateurs OBPB 300 raccordés en parallèle</v>
      </c>
      <c r="L112" s="34">
        <f>L106</f>
        <v>170</v>
      </c>
      <c r="M112" s="9">
        <f t="shared" si="24"/>
        <v>17</v>
      </c>
      <c r="N112" s="9">
        <f t="shared" si="21"/>
        <v>2.0099999999999998</v>
      </c>
    </row>
    <row r="113" spans="1:14" x14ac:dyDescent="0.2">
      <c r="A113">
        <f t="shared" si="25"/>
        <v>26</v>
      </c>
      <c r="B113" s="9" t="s">
        <v>335</v>
      </c>
      <c r="C113" s="9">
        <v>650</v>
      </c>
      <c r="D113" s="9">
        <v>6.6</v>
      </c>
      <c r="E113" s="9">
        <v>90</v>
      </c>
      <c r="F113" s="4">
        <v>60</v>
      </c>
      <c r="G113" s="32">
        <v>114</v>
      </c>
      <c r="H113" s="30">
        <f t="shared" si="27"/>
        <v>1966</v>
      </c>
      <c r="I113" s="9"/>
      <c r="J113">
        <f t="shared" si="23"/>
        <v>0</v>
      </c>
      <c r="K113" s="12" t="str">
        <f t="shared" si="26"/>
        <v>1 préparateur OB 650</v>
      </c>
      <c r="L113" s="34">
        <v>330</v>
      </c>
      <c r="M113" s="9">
        <f t="shared" si="24"/>
        <v>33</v>
      </c>
      <c r="N113" s="9">
        <f t="shared" si="21"/>
        <v>1.966</v>
      </c>
    </row>
    <row r="114" spans="1:14" x14ac:dyDescent="0.2">
      <c r="A114">
        <f t="shared" si="25"/>
        <v>26</v>
      </c>
      <c r="B114" s="9" t="s">
        <v>336</v>
      </c>
      <c r="C114" s="9">
        <v>780</v>
      </c>
      <c r="D114" s="9">
        <v>6.6</v>
      </c>
      <c r="E114" s="9">
        <v>90</v>
      </c>
      <c r="F114" s="4">
        <v>60</v>
      </c>
      <c r="G114" s="32">
        <v>114</v>
      </c>
      <c r="H114" s="30">
        <f>ROUND(G114*1000/1.16/50,0)</f>
        <v>1966</v>
      </c>
      <c r="I114" s="9"/>
      <c r="J114">
        <f>IF(Tecs=F114,1,0)*IF(E114=$B$1,1,0)*IF(C114&gt;=$B$2,1,0)*IF(G114&gt;=$B$3,1,0)</f>
        <v>0</v>
      </c>
      <c r="K114" s="12" t="str">
        <f>K79</f>
        <v>1 préparateur OB 800</v>
      </c>
      <c r="L114" s="34">
        <v>330</v>
      </c>
      <c r="M114" s="9">
        <f>L114/10</f>
        <v>33</v>
      </c>
      <c r="N114" s="9">
        <f>H114/1000</f>
        <v>1.966</v>
      </c>
    </row>
    <row r="115" spans="1:14" x14ac:dyDescent="0.2">
      <c r="A115">
        <f t="shared" si="25"/>
        <v>26</v>
      </c>
      <c r="B115" s="9" t="str">
        <f>CONCATENATE("2 - ",B107)</f>
        <v>2 - OBLC 400</v>
      </c>
      <c r="C115" s="9">
        <f>2*C107</f>
        <v>780</v>
      </c>
      <c r="D115" s="9">
        <v>6</v>
      </c>
      <c r="E115" s="9">
        <v>90</v>
      </c>
      <c r="F115" s="4">
        <v>60</v>
      </c>
      <c r="G115" s="32">
        <f>2*G107</f>
        <v>121</v>
      </c>
      <c r="H115" s="30">
        <f t="shared" si="27"/>
        <v>2086</v>
      </c>
      <c r="I115" s="9"/>
      <c r="J115">
        <f t="shared" si="23"/>
        <v>0</v>
      </c>
      <c r="K115" s="12" t="str">
        <f>K77</f>
        <v>2 préparateurs OBLC 400 raccordés en parallèle</v>
      </c>
      <c r="L115" s="34">
        <f>L107</f>
        <v>170</v>
      </c>
      <c r="M115" s="9">
        <f t="shared" si="24"/>
        <v>17</v>
      </c>
      <c r="N115" s="9">
        <f t="shared" si="21"/>
        <v>2.0859999999999999</v>
      </c>
    </row>
    <row r="116" spans="1:14" x14ac:dyDescent="0.2">
      <c r="A116">
        <f t="shared" si="25"/>
        <v>26</v>
      </c>
      <c r="B116" s="9" t="str">
        <f>CONCATENATE("2 - ",B108)</f>
        <v>2 - OBPB 400</v>
      </c>
      <c r="C116" s="9">
        <f>2*C108</f>
        <v>770</v>
      </c>
      <c r="D116" s="9">
        <v>6</v>
      </c>
      <c r="E116" s="9">
        <v>90</v>
      </c>
      <c r="F116" s="4">
        <v>60</v>
      </c>
      <c r="G116" s="32">
        <f>2*G108</f>
        <v>146.80000000000001</v>
      </c>
      <c r="H116" s="30">
        <f t="shared" si="27"/>
        <v>2531</v>
      </c>
      <c r="I116" s="9"/>
      <c r="J116">
        <f t="shared" si="23"/>
        <v>0</v>
      </c>
      <c r="K116" s="12" t="str">
        <f>K78</f>
        <v>2 préparateurs OBPB 400 raccordés en parallèle</v>
      </c>
      <c r="L116" s="34">
        <f>L108</f>
        <v>200</v>
      </c>
      <c r="M116" s="9">
        <f t="shared" si="24"/>
        <v>20</v>
      </c>
      <c r="N116" s="9">
        <f t="shared" si="21"/>
        <v>2.5310000000000001</v>
      </c>
    </row>
    <row r="117" spans="1:14" x14ac:dyDescent="0.2">
      <c r="A117">
        <f t="shared" si="25"/>
        <v>26</v>
      </c>
      <c r="B117" s="9" t="str">
        <f>CONCATENATE("2 - ",B109)</f>
        <v>2 - OBLC 500</v>
      </c>
      <c r="C117" s="9">
        <f>2*C109</f>
        <v>990</v>
      </c>
      <c r="D117" s="9">
        <v>9</v>
      </c>
      <c r="E117" s="9">
        <v>90</v>
      </c>
      <c r="F117" s="4">
        <v>60</v>
      </c>
      <c r="G117" s="32">
        <f>3*G105</f>
        <v>126.30000000000001</v>
      </c>
      <c r="H117" s="30">
        <f t="shared" si="27"/>
        <v>2178</v>
      </c>
      <c r="I117" s="9"/>
      <c r="J117">
        <f t="shared" si="23"/>
        <v>0</v>
      </c>
      <c r="K117" s="12" t="str">
        <f t="shared" ref="K117:K134" si="28">K80</f>
        <v>3 préparateurs OBLC 300 raccordés en parallèle</v>
      </c>
      <c r="L117" s="34">
        <f>L105</f>
        <v>130</v>
      </c>
      <c r="M117" s="9">
        <f t="shared" si="24"/>
        <v>13</v>
      </c>
      <c r="N117" s="9">
        <f t="shared" si="21"/>
        <v>2.1779999999999999</v>
      </c>
    </row>
    <row r="118" spans="1:14" x14ac:dyDescent="0.2">
      <c r="A118">
        <f t="shared" si="25"/>
        <v>26</v>
      </c>
      <c r="B118" s="9" t="s">
        <v>332</v>
      </c>
      <c r="C118" s="9">
        <f>3*C106</f>
        <v>870</v>
      </c>
      <c r="D118" s="9">
        <v>9</v>
      </c>
      <c r="E118" s="9">
        <v>90</v>
      </c>
      <c r="F118" s="4">
        <v>60</v>
      </c>
      <c r="G118" s="32">
        <f>3*G106</f>
        <v>174.89999999999998</v>
      </c>
      <c r="H118" s="30">
        <f t="shared" si="27"/>
        <v>3016</v>
      </c>
      <c r="I118" s="9"/>
      <c r="J118">
        <f t="shared" si="23"/>
        <v>0</v>
      </c>
      <c r="K118" s="12" t="str">
        <f t="shared" si="28"/>
        <v>3 préparateurs OBPB 300 raccordés en parallèle</v>
      </c>
      <c r="L118" s="34">
        <f>L106</f>
        <v>170</v>
      </c>
      <c r="M118" s="9">
        <f t="shared" si="24"/>
        <v>17</v>
      </c>
      <c r="N118" s="9">
        <f t="shared" si="21"/>
        <v>3.016</v>
      </c>
    </row>
    <row r="119" spans="1:14" x14ac:dyDescent="0.2">
      <c r="A119">
        <f t="shared" si="25"/>
        <v>26</v>
      </c>
      <c r="B119" s="9" t="s">
        <v>337</v>
      </c>
      <c r="C119" s="9">
        <v>980</v>
      </c>
      <c r="D119" s="9">
        <v>7.2</v>
      </c>
      <c r="E119" s="9">
        <v>90</v>
      </c>
      <c r="F119" s="4">
        <v>60</v>
      </c>
      <c r="G119" s="32">
        <v>125.4</v>
      </c>
      <c r="H119" s="30">
        <f t="shared" si="27"/>
        <v>2162</v>
      </c>
      <c r="I119" s="9"/>
      <c r="J119">
        <f t="shared" si="23"/>
        <v>0</v>
      </c>
      <c r="K119" s="12" t="str">
        <f t="shared" si="28"/>
        <v>1 préparateur OB 1000</v>
      </c>
      <c r="L119" s="34">
        <v>490</v>
      </c>
      <c r="M119" s="9">
        <f t="shared" si="24"/>
        <v>49</v>
      </c>
      <c r="N119" s="9">
        <f t="shared" si="21"/>
        <v>2.1619999999999999</v>
      </c>
    </row>
    <row r="120" spans="1:14" x14ac:dyDescent="0.2">
      <c r="A120">
        <f t="shared" si="25"/>
        <v>26</v>
      </c>
      <c r="B120" s="9" t="str">
        <f>CONCATENATE("2 - ",B109)</f>
        <v>2 - OBLC 500</v>
      </c>
      <c r="C120" s="9">
        <f>2*C109</f>
        <v>990</v>
      </c>
      <c r="D120" s="9">
        <v>6</v>
      </c>
      <c r="E120" s="9">
        <v>90</v>
      </c>
      <c r="F120" s="4">
        <v>60</v>
      </c>
      <c r="G120" s="32">
        <f>2*G109</f>
        <v>142.6</v>
      </c>
      <c r="H120" s="30">
        <f t="shared" si="27"/>
        <v>2459</v>
      </c>
      <c r="I120" s="9"/>
      <c r="J120">
        <f t="shared" si="23"/>
        <v>0</v>
      </c>
      <c r="K120" s="12" t="str">
        <f t="shared" si="28"/>
        <v>2 préparateurs OBLC 500 raccordés en parallèle</v>
      </c>
      <c r="L120" s="34">
        <f>L109</f>
        <v>200</v>
      </c>
      <c r="M120" s="9">
        <f t="shared" si="24"/>
        <v>20</v>
      </c>
      <c r="N120" s="9">
        <f t="shared" si="21"/>
        <v>2.4590000000000001</v>
      </c>
    </row>
    <row r="121" spans="1:14" x14ac:dyDescent="0.2">
      <c r="A121">
        <f t="shared" si="25"/>
        <v>26</v>
      </c>
      <c r="B121" s="9" t="str">
        <f>CONCATENATE("2 - ",B110)</f>
        <v>2 - OBPB 500</v>
      </c>
      <c r="C121" s="9">
        <f>2*C110</f>
        <v>970</v>
      </c>
      <c r="D121" s="9">
        <v>6</v>
      </c>
      <c r="E121" s="9">
        <v>90</v>
      </c>
      <c r="F121" s="4">
        <v>60</v>
      </c>
      <c r="G121" s="32">
        <f>2*G110</f>
        <v>185.8</v>
      </c>
      <c r="H121" s="30">
        <f t="shared" si="27"/>
        <v>3203</v>
      </c>
      <c r="I121" s="9"/>
      <c r="J121">
        <f t="shared" si="23"/>
        <v>0</v>
      </c>
      <c r="K121" s="12" t="str">
        <f t="shared" si="28"/>
        <v>2 préparateurs OBPB 500 raccordés en parallèle</v>
      </c>
      <c r="L121" s="34">
        <f>L110</f>
        <v>260</v>
      </c>
      <c r="M121" s="9">
        <f t="shared" si="24"/>
        <v>26</v>
      </c>
      <c r="N121" s="9">
        <f t="shared" si="21"/>
        <v>3.2029999999999998</v>
      </c>
    </row>
    <row r="122" spans="1:14" x14ac:dyDescent="0.2">
      <c r="A122">
        <f t="shared" si="25"/>
        <v>26</v>
      </c>
      <c r="B122" s="9" t="s">
        <v>325</v>
      </c>
      <c r="C122" s="9">
        <f>3*C107</f>
        <v>1170</v>
      </c>
      <c r="D122" s="9">
        <v>9</v>
      </c>
      <c r="E122" s="9">
        <v>90</v>
      </c>
      <c r="F122" s="4">
        <v>60</v>
      </c>
      <c r="G122" s="32">
        <f>3*G107</f>
        <v>181.5</v>
      </c>
      <c r="H122" s="30">
        <f t="shared" si="27"/>
        <v>3129</v>
      </c>
      <c r="I122" s="9"/>
      <c r="J122">
        <f t="shared" si="23"/>
        <v>0</v>
      </c>
      <c r="K122" s="12" t="str">
        <f t="shared" si="28"/>
        <v>3 préparateurs OBLC 400 raccordés en parallèle</v>
      </c>
      <c r="L122" s="34">
        <f>L107</f>
        <v>170</v>
      </c>
      <c r="M122" s="9">
        <f t="shared" si="24"/>
        <v>17</v>
      </c>
      <c r="N122" s="9">
        <f t="shared" si="21"/>
        <v>3.129</v>
      </c>
    </row>
    <row r="123" spans="1:14" x14ac:dyDescent="0.2">
      <c r="A123">
        <f t="shared" si="25"/>
        <v>26</v>
      </c>
      <c r="B123" s="9" t="s">
        <v>333</v>
      </c>
      <c r="C123" s="9">
        <f>3*C108</f>
        <v>1155</v>
      </c>
      <c r="D123" s="9">
        <v>9</v>
      </c>
      <c r="E123" s="9">
        <v>90</v>
      </c>
      <c r="F123" s="4">
        <v>60</v>
      </c>
      <c r="G123" s="32">
        <f>3*G108</f>
        <v>220.20000000000002</v>
      </c>
      <c r="H123" s="30">
        <f t="shared" si="27"/>
        <v>3797</v>
      </c>
      <c r="I123" s="9"/>
      <c r="J123">
        <f t="shared" ref="J123:J137" si="29">IF(Tecs=F123,1,0)*IF(E123=$B$1,1,0)*IF(C123&gt;=$B$2,1,0)*IF(G123&gt;=$B$3,1,0)</f>
        <v>0</v>
      </c>
      <c r="K123" s="12" t="str">
        <f t="shared" si="28"/>
        <v>3 préparateurs OBPB 400 raccordés en parallèle</v>
      </c>
      <c r="L123" s="34">
        <f>L108</f>
        <v>200</v>
      </c>
      <c r="M123" s="9">
        <f t="shared" si="24"/>
        <v>20</v>
      </c>
      <c r="N123" s="9">
        <f t="shared" si="21"/>
        <v>3.7970000000000002</v>
      </c>
    </row>
    <row r="124" spans="1:14" x14ac:dyDescent="0.2">
      <c r="A124">
        <f t="shared" si="25"/>
        <v>26</v>
      </c>
      <c r="B124" s="9" t="s">
        <v>338</v>
      </c>
      <c r="C124" s="9">
        <f>2*C113</f>
        <v>1300</v>
      </c>
      <c r="D124" s="9">
        <f>2*D113</f>
        <v>13.2</v>
      </c>
      <c r="E124" s="9">
        <v>90</v>
      </c>
      <c r="F124" s="4">
        <v>60</v>
      </c>
      <c r="G124" s="32">
        <f>2*G113</f>
        <v>228</v>
      </c>
      <c r="H124" s="30">
        <f t="shared" si="27"/>
        <v>3931</v>
      </c>
      <c r="I124" s="9"/>
      <c r="J124">
        <f t="shared" si="29"/>
        <v>0</v>
      </c>
      <c r="K124" s="12" t="str">
        <f t="shared" si="28"/>
        <v>2 préparateurs OB 650</v>
      </c>
      <c r="L124" s="34">
        <f>+L113</f>
        <v>330</v>
      </c>
      <c r="M124" s="9">
        <f t="shared" si="24"/>
        <v>33</v>
      </c>
      <c r="N124" s="9">
        <f t="shared" si="21"/>
        <v>3.931</v>
      </c>
    </row>
    <row r="125" spans="1:14" x14ac:dyDescent="0.2">
      <c r="A125">
        <f t="shared" si="25"/>
        <v>26</v>
      </c>
      <c r="B125" s="9" t="s">
        <v>339</v>
      </c>
      <c r="C125" s="9">
        <v>1500</v>
      </c>
      <c r="D125" s="9">
        <v>9</v>
      </c>
      <c r="E125" s="9">
        <v>90</v>
      </c>
      <c r="F125" s="4">
        <v>60</v>
      </c>
      <c r="G125" s="32">
        <v>156.80000000000001</v>
      </c>
      <c r="H125" s="30">
        <f t="shared" si="27"/>
        <v>2703</v>
      </c>
      <c r="I125" s="9"/>
      <c r="J125">
        <f t="shared" si="29"/>
        <v>0</v>
      </c>
      <c r="K125" s="12" t="str">
        <f t="shared" si="28"/>
        <v>1 préparateur OB 1500</v>
      </c>
      <c r="L125" s="34">
        <v>860</v>
      </c>
      <c r="M125" s="9">
        <f t="shared" si="24"/>
        <v>86</v>
      </c>
      <c r="N125" s="9">
        <f t="shared" si="21"/>
        <v>2.7029999999999998</v>
      </c>
    </row>
    <row r="126" spans="1:14" x14ac:dyDescent="0.2">
      <c r="A126">
        <f t="shared" si="25"/>
        <v>26</v>
      </c>
      <c r="B126" s="9" t="s">
        <v>326</v>
      </c>
      <c r="C126" s="9">
        <f>3*C109</f>
        <v>1485</v>
      </c>
      <c r="D126" s="9">
        <v>9</v>
      </c>
      <c r="E126" s="9">
        <v>90</v>
      </c>
      <c r="F126" s="4">
        <v>60</v>
      </c>
      <c r="G126" s="32">
        <f>3*G109</f>
        <v>213.89999999999998</v>
      </c>
      <c r="H126" s="30">
        <f t="shared" si="27"/>
        <v>3688</v>
      </c>
      <c r="I126" s="9"/>
      <c r="J126">
        <f t="shared" si="29"/>
        <v>0</v>
      </c>
      <c r="K126" s="12" t="str">
        <f t="shared" si="28"/>
        <v>3 préparateurs OBLC 500 raccordés en parallèle</v>
      </c>
      <c r="L126" s="34">
        <f>L109</f>
        <v>200</v>
      </c>
      <c r="M126" s="9">
        <f t="shared" si="24"/>
        <v>20</v>
      </c>
      <c r="N126" s="9">
        <f t="shared" si="21"/>
        <v>3.6880000000000002</v>
      </c>
    </row>
    <row r="127" spans="1:14" x14ac:dyDescent="0.2">
      <c r="A127">
        <f t="shared" si="25"/>
        <v>26</v>
      </c>
      <c r="B127" s="9" t="s">
        <v>334</v>
      </c>
      <c r="C127" s="9">
        <f>3*C110</f>
        <v>1455</v>
      </c>
      <c r="D127" s="9">
        <v>9</v>
      </c>
      <c r="E127" s="9">
        <v>90</v>
      </c>
      <c r="F127" s="4">
        <v>60</v>
      </c>
      <c r="G127" s="32">
        <f>3*G110</f>
        <v>278.70000000000005</v>
      </c>
      <c r="H127" s="30">
        <f t="shared" si="27"/>
        <v>4805</v>
      </c>
      <c r="I127" s="9"/>
      <c r="J127">
        <f t="shared" si="29"/>
        <v>0</v>
      </c>
      <c r="K127" s="12" t="str">
        <f t="shared" si="28"/>
        <v>3 préparateurs OBPB 500 raccordés en parallèle</v>
      </c>
      <c r="L127" s="34">
        <f>L110</f>
        <v>260</v>
      </c>
      <c r="M127" s="9">
        <f t="shared" si="24"/>
        <v>26</v>
      </c>
      <c r="N127" s="9">
        <f t="shared" si="21"/>
        <v>4.8049999999999997</v>
      </c>
    </row>
    <row r="128" spans="1:14" x14ac:dyDescent="0.2">
      <c r="A128">
        <f t="shared" si="25"/>
        <v>26</v>
      </c>
      <c r="B128" s="9" t="s">
        <v>340</v>
      </c>
      <c r="C128" s="9">
        <v>1560</v>
      </c>
      <c r="D128" s="9">
        <f>2*D114</f>
        <v>13.2</v>
      </c>
      <c r="E128" s="9">
        <v>90</v>
      </c>
      <c r="F128" s="4">
        <v>60</v>
      </c>
      <c r="G128" s="32">
        <f>2*G114</f>
        <v>228</v>
      </c>
      <c r="H128" s="30">
        <f t="shared" si="27"/>
        <v>3931</v>
      </c>
      <c r="I128" s="9"/>
      <c r="J128">
        <f t="shared" si="29"/>
        <v>0</v>
      </c>
      <c r="K128" s="12" t="str">
        <f t="shared" si="28"/>
        <v>2 préparateurs OB 800 raccordés en parallèle</v>
      </c>
      <c r="L128" s="34">
        <f>+L114</f>
        <v>330</v>
      </c>
      <c r="M128" s="9">
        <f t="shared" si="24"/>
        <v>33</v>
      </c>
      <c r="N128" s="9">
        <f t="shared" si="21"/>
        <v>3.931</v>
      </c>
    </row>
    <row r="129" spans="1:23" x14ac:dyDescent="0.2">
      <c r="A129">
        <f t="shared" si="25"/>
        <v>26</v>
      </c>
      <c r="B129" s="9" t="s">
        <v>341</v>
      </c>
      <c r="C129" s="9">
        <f>3*C113</f>
        <v>1950</v>
      </c>
      <c r="D129" s="9">
        <f>3*D113</f>
        <v>19.799999999999997</v>
      </c>
      <c r="E129" s="9">
        <v>90</v>
      </c>
      <c r="F129" s="4">
        <v>60</v>
      </c>
      <c r="G129" s="32">
        <f>3*G113</f>
        <v>342</v>
      </c>
      <c r="H129" s="30">
        <f t="shared" si="27"/>
        <v>5897</v>
      </c>
      <c r="I129" s="9"/>
      <c r="J129">
        <f t="shared" si="29"/>
        <v>0</v>
      </c>
      <c r="K129" s="12" t="str">
        <f t="shared" si="28"/>
        <v>3 préparateurs OB 650</v>
      </c>
      <c r="L129" s="34">
        <f>+L113</f>
        <v>330</v>
      </c>
      <c r="M129" s="9">
        <f t="shared" si="24"/>
        <v>33</v>
      </c>
      <c r="N129" s="9">
        <f t="shared" si="21"/>
        <v>5.8970000000000002</v>
      </c>
    </row>
    <row r="130" spans="1:23" x14ac:dyDescent="0.2">
      <c r="A130">
        <f t="shared" si="25"/>
        <v>26</v>
      </c>
      <c r="B130" s="9" t="s">
        <v>343</v>
      </c>
      <c r="C130" s="9">
        <v>1960</v>
      </c>
      <c r="D130" s="9">
        <f>2*D119</f>
        <v>14.4</v>
      </c>
      <c r="E130" s="9">
        <v>90</v>
      </c>
      <c r="F130" s="4">
        <v>60</v>
      </c>
      <c r="G130" s="32">
        <f>2*G119</f>
        <v>250.8</v>
      </c>
      <c r="H130" s="30">
        <f>ROUND(G130*1000/1.16/50,0)</f>
        <v>4324</v>
      </c>
      <c r="I130" s="9"/>
      <c r="J130">
        <f>IF(Tecs=F130,1,0)*IF(E130=$B$1,1,0)*IF(C130&gt;=$B$2,1,0)*IF(G130&gt;=$B$3,1,0)</f>
        <v>0</v>
      </c>
      <c r="K130" s="12" t="str">
        <f t="shared" si="28"/>
        <v>2 préparateurs OB 1000 raccordés en parallèle</v>
      </c>
      <c r="L130" s="34">
        <f>+L119</f>
        <v>490</v>
      </c>
      <c r="M130" s="9">
        <f>L130/10</f>
        <v>49</v>
      </c>
      <c r="N130" s="9">
        <f>H130/1000</f>
        <v>4.3239999999999998</v>
      </c>
    </row>
    <row r="131" spans="1:23" x14ac:dyDescent="0.2">
      <c r="A131">
        <f t="shared" si="25"/>
        <v>26</v>
      </c>
      <c r="B131" s="9" t="s">
        <v>342</v>
      </c>
      <c r="C131" s="9">
        <v>2000</v>
      </c>
      <c r="D131" s="9">
        <v>9</v>
      </c>
      <c r="E131" s="9">
        <v>90</v>
      </c>
      <c r="F131" s="4">
        <v>60</v>
      </c>
      <c r="G131" s="32">
        <v>156.80000000000001</v>
      </c>
      <c r="H131" s="30">
        <f t="shared" si="27"/>
        <v>2703</v>
      </c>
      <c r="I131" s="9"/>
      <c r="J131">
        <f t="shared" si="29"/>
        <v>0</v>
      </c>
      <c r="K131" s="12" t="str">
        <f t="shared" si="28"/>
        <v>1 préparateur OB 2000</v>
      </c>
      <c r="L131" s="34">
        <v>860</v>
      </c>
      <c r="M131" s="9">
        <f t="shared" si="24"/>
        <v>86</v>
      </c>
      <c r="N131" s="9">
        <f t="shared" si="21"/>
        <v>2.7029999999999998</v>
      </c>
    </row>
    <row r="132" spans="1:23" x14ac:dyDescent="0.2">
      <c r="A132">
        <f t="shared" si="25"/>
        <v>26</v>
      </c>
      <c r="B132" s="9" t="s">
        <v>344</v>
      </c>
      <c r="C132" s="9">
        <v>2500</v>
      </c>
      <c r="D132" s="9">
        <v>9</v>
      </c>
      <c r="E132" s="9">
        <v>90</v>
      </c>
      <c r="F132" s="4">
        <v>60</v>
      </c>
      <c r="G132" s="32">
        <v>156.80000000000001</v>
      </c>
      <c r="H132" s="30">
        <f t="shared" si="27"/>
        <v>2703</v>
      </c>
      <c r="I132" s="9"/>
      <c r="J132">
        <f t="shared" si="29"/>
        <v>0</v>
      </c>
      <c r="K132" s="12" t="str">
        <f t="shared" si="28"/>
        <v>1 préparateur OB 2500</v>
      </c>
      <c r="L132" s="34">
        <v>860</v>
      </c>
      <c r="M132" s="9">
        <f t="shared" si="24"/>
        <v>86</v>
      </c>
      <c r="N132" s="9">
        <f t="shared" si="21"/>
        <v>2.7029999999999998</v>
      </c>
    </row>
    <row r="133" spans="1:23" x14ac:dyDescent="0.2">
      <c r="A133">
        <f t="shared" si="25"/>
        <v>26</v>
      </c>
      <c r="B133" s="9" t="s">
        <v>345</v>
      </c>
      <c r="C133" s="9">
        <v>3000</v>
      </c>
      <c r="D133" s="9">
        <f>2*D125</f>
        <v>18</v>
      </c>
      <c r="E133" s="9">
        <v>90</v>
      </c>
      <c r="F133" s="4">
        <v>60</v>
      </c>
      <c r="G133" s="32">
        <f>2*G125</f>
        <v>313.60000000000002</v>
      </c>
      <c r="H133" s="30">
        <f t="shared" si="27"/>
        <v>5407</v>
      </c>
      <c r="I133" s="9"/>
      <c r="J133">
        <f t="shared" si="29"/>
        <v>0</v>
      </c>
      <c r="K133" s="12" t="str">
        <f t="shared" si="28"/>
        <v>2 préparateurs OB 1500 raccordés en parallèle</v>
      </c>
      <c r="L133" s="34">
        <f>+L125</f>
        <v>860</v>
      </c>
      <c r="M133" s="9">
        <f t="shared" si="24"/>
        <v>86</v>
      </c>
      <c r="N133" s="9">
        <f t="shared" si="21"/>
        <v>5.407</v>
      </c>
    </row>
    <row r="134" spans="1:23" x14ac:dyDescent="0.2">
      <c r="A134">
        <f t="shared" si="25"/>
        <v>26</v>
      </c>
      <c r="B134" s="9" t="s">
        <v>346</v>
      </c>
      <c r="C134" s="9">
        <v>3000</v>
      </c>
      <c r="D134" s="9">
        <v>9</v>
      </c>
      <c r="E134" s="9">
        <v>90</v>
      </c>
      <c r="F134" s="4">
        <v>60</v>
      </c>
      <c r="G134" s="32">
        <v>156.80000000000001</v>
      </c>
      <c r="H134" s="30">
        <f t="shared" si="27"/>
        <v>2703</v>
      </c>
      <c r="I134" s="9"/>
      <c r="J134">
        <f t="shared" si="29"/>
        <v>0</v>
      </c>
      <c r="K134" s="12" t="str">
        <f t="shared" si="28"/>
        <v>1 préparateur OB 3000</v>
      </c>
      <c r="L134" s="34">
        <v>860</v>
      </c>
      <c r="M134" s="9">
        <f t="shared" si="24"/>
        <v>86</v>
      </c>
      <c r="N134" s="9">
        <f t="shared" si="21"/>
        <v>2.7029999999999998</v>
      </c>
    </row>
    <row r="135" spans="1:23" x14ac:dyDescent="0.2">
      <c r="A135">
        <f t="shared" si="25"/>
        <v>26</v>
      </c>
      <c r="B135" s="9" t="s">
        <v>347</v>
      </c>
      <c r="C135" s="9">
        <v>4000</v>
      </c>
      <c r="D135" s="9">
        <f>2*D131</f>
        <v>18</v>
      </c>
      <c r="E135" s="9">
        <v>90</v>
      </c>
      <c r="F135" s="4">
        <v>60</v>
      </c>
      <c r="G135" s="32">
        <f>2*G131</f>
        <v>313.60000000000002</v>
      </c>
      <c r="H135" s="30">
        <f t="shared" si="27"/>
        <v>5407</v>
      </c>
      <c r="I135" s="9"/>
      <c r="J135">
        <f t="shared" si="29"/>
        <v>0</v>
      </c>
      <c r="K135" s="12" t="str">
        <f>+K98</f>
        <v>2 préparateurs OB 2000 raccordés en parallèle</v>
      </c>
      <c r="L135" s="34">
        <v>860</v>
      </c>
      <c r="M135" s="9">
        <f t="shared" si="24"/>
        <v>86</v>
      </c>
      <c r="N135" s="9">
        <f t="shared" si="21"/>
        <v>5.407</v>
      </c>
    </row>
    <row r="136" spans="1:23" x14ac:dyDescent="0.2">
      <c r="A136">
        <f t="shared" si="25"/>
        <v>26</v>
      </c>
      <c r="B136" s="9" t="s">
        <v>348</v>
      </c>
      <c r="C136" s="9">
        <v>5000</v>
      </c>
      <c r="D136" s="9">
        <f>2*D132</f>
        <v>18</v>
      </c>
      <c r="E136" s="9">
        <v>90</v>
      </c>
      <c r="F136" s="4">
        <v>60</v>
      </c>
      <c r="G136" s="32">
        <f>2*G132</f>
        <v>313.60000000000002</v>
      </c>
      <c r="H136" s="30">
        <f t="shared" si="27"/>
        <v>5407</v>
      </c>
      <c r="I136" s="9"/>
      <c r="J136">
        <f t="shared" si="29"/>
        <v>0</v>
      </c>
      <c r="K136" s="12" t="str">
        <f>K99</f>
        <v>2 préparateurs OB 2500 raccordés en parallèle</v>
      </c>
      <c r="L136" s="34">
        <f>+L132</f>
        <v>860</v>
      </c>
      <c r="M136" s="9">
        <f t="shared" si="24"/>
        <v>86</v>
      </c>
      <c r="N136" s="9">
        <f t="shared" si="21"/>
        <v>5.407</v>
      </c>
    </row>
    <row r="137" spans="1:23" ht="13.5" thickBot="1" x14ac:dyDescent="0.25">
      <c r="A137">
        <f t="shared" si="25"/>
        <v>26</v>
      </c>
      <c r="B137" s="9" t="s">
        <v>349</v>
      </c>
      <c r="C137" s="9">
        <v>6000</v>
      </c>
      <c r="D137" s="9">
        <f>2*D134</f>
        <v>18</v>
      </c>
      <c r="E137" s="9">
        <v>90</v>
      </c>
      <c r="F137" s="4">
        <v>60</v>
      </c>
      <c r="G137" s="36">
        <f>2*G133</f>
        <v>627.20000000000005</v>
      </c>
      <c r="H137" s="31">
        <f t="shared" si="27"/>
        <v>10814</v>
      </c>
      <c r="I137" s="9"/>
      <c r="J137">
        <f t="shared" si="29"/>
        <v>0</v>
      </c>
      <c r="K137" s="12" t="str">
        <f>K100</f>
        <v>2 préparateurs OB 3000 raccordés en parallèle</v>
      </c>
      <c r="L137" s="40">
        <f>+L134</f>
        <v>860</v>
      </c>
      <c r="M137" s="9">
        <f t="shared" si="24"/>
        <v>86</v>
      </c>
      <c r="N137" s="9">
        <f t="shared" si="21"/>
        <v>10.814</v>
      </c>
    </row>
    <row r="138" spans="1:23" x14ac:dyDescent="0.2">
      <c r="A138">
        <f t="shared" ref="A138" si="30">J138+A137</f>
        <v>27</v>
      </c>
      <c r="B138" s="14" t="s">
        <v>26</v>
      </c>
      <c r="C138" s="14"/>
      <c r="D138" s="14"/>
      <c r="E138" s="14"/>
      <c r="F138" s="15"/>
      <c r="G138" s="14"/>
      <c r="H138" s="14"/>
      <c r="I138" s="14"/>
      <c r="J138" s="14">
        <v>1</v>
      </c>
      <c r="Q138" t="s">
        <v>2</v>
      </c>
      <c r="R138">
        <v>800</v>
      </c>
      <c r="T138">
        <v>90</v>
      </c>
      <c r="U138">
        <v>60</v>
      </c>
      <c r="W138" s="30">
        <f t="shared" ref="W138:W144" si="31">ROUND(V138*1000/1.16/50,0)</f>
        <v>0</v>
      </c>
    </row>
    <row r="139" spans="1:23" x14ac:dyDescent="0.2">
      <c r="Q139" t="s">
        <v>0</v>
      </c>
      <c r="R139">
        <v>1000</v>
      </c>
      <c r="T139">
        <v>70</v>
      </c>
      <c r="U139">
        <v>60</v>
      </c>
      <c r="W139" s="30">
        <f t="shared" si="31"/>
        <v>0</v>
      </c>
    </row>
    <row r="140" spans="1:23" x14ac:dyDescent="0.2">
      <c r="Q140" t="s">
        <v>0</v>
      </c>
      <c r="R140">
        <v>1000</v>
      </c>
      <c r="T140">
        <v>80</v>
      </c>
      <c r="U140">
        <v>60</v>
      </c>
      <c r="W140" s="30">
        <f t="shared" si="31"/>
        <v>0</v>
      </c>
    </row>
    <row r="141" spans="1:23" x14ac:dyDescent="0.2">
      <c r="Q141" t="s">
        <v>0</v>
      </c>
      <c r="R141">
        <v>1000</v>
      </c>
      <c r="T141">
        <v>90</v>
      </c>
      <c r="U141">
        <v>60</v>
      </c>
      <c r="W141" s="30">
        <f t="shared" si="31"/>
        <v>0</v>
      </c>
    </row>
    <row r="142" spans="1:23" x14ac:dyDescent="0.2">
      <c r="Q142" t="s">
        <v>3</v>
      </c>
      <c r="T142">
        <v>70</v>
      </c>
      <c r="U142">
        <v>60</v>
      </c>
      <c r="W142" s="30">
        <f t="shared" si="31"/>
        <v>0</v>
      </c>
    </row>
    <row r="143" spans="1:23" x14ac:dyDescent="0.2">
      <c r="Q143" t="s">
        <v>3</v>
      </c>
      <c r="T143">
        <v>80</v>
      </c>
      <c r="U143">
        <v>60</v>
      </c>
      <c r="W143" s="30">
        <f t="shared" si="31"/>
        <v>0</v>
      </c>
    </row>
    <row r="144" spans="1:23" x14ac:dyDescent="0.2">
      <c r="Q144" t="s">
        <v>3</v>
      </c>
      <c r="T144">
        <v>90</v>
      </c>
      <c r="U144">
        <v>60</v>
      </c>
      <c r="W144" s="30">
        <f t="shared" si="31"/>
        <v>0</v>
      </c>
    </row>
    <row r="145" spans="8:8" ht="32.25" customHeight="1" x14ac:dyDescent="0.2">
      <c r="H145" s="37"/>
    </row>
  </sheetData>
  <dataValidations count="1">
    <dataValidation type="list" allowBlank="1" showInputMessage="1" showErrorMessage="1" sqref="C25">
      <formula1>"90,80,70,60"</formula1>
    </dataValidation>
  </dataValidations>
  <pageMargins left="0.78740157499999996" right="0.78740157499999996" top="0.56999999999999995" bottom="0.89" header="0.48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autoPageBreaks="0"/>
  </sheetPr>
  <dimension ref="A1:W145"/>
  <sheetViews>
    <sheetView zoomScaleNormal="100" workbookViewId="0">
      <selection activeCell="A27" sqref="A27"/>
    </sheetView>
  </sheetViews>
  <sheetFormatPr baseColWidth="10" defaultRowHeight="12.75" x14ac:dyDescent="0.2"/>
  <cols>
    <col min="2" max="2" width="14.140625" customWidth="1"/>
    <col min="7" max="7" width="13.140625" customWidth="1"/>
    <col min="9" max="9" width="18.42578125" bestFit="1" customWidth="1"/>
    <col min="11" max="11" width="48.42578125" customWidth="1"/>
    <col min="12" max="15" width="26.5703125" customWidth="1"/>
    <col min="17" max="17" width="20" customWidth="1"/>
  </cols>
  <sheetData>
    <row r="1" spans="1:13" x14ac:dyDescent="0.2">
      <c r="A1" t="s">
        <v>8</v>
      </c>
      <c r="B1" s="2">
        <f>Tprimaire</f>
        <v>70</v>
      </c>
      <c r="C1" t="s">
        <v>7</v>
      </c>
      <c r="F1" s="3"/>
    </row>
    <row r="2" spans="1:13" x14ac:dyDescent="0.2">
      <c r="A2" t="s">
        <v>9</v>
      </c>
      <c r="B2">
        <f>IF('Tool ECS'!J95=0,+Qj,'Tool ECS'!J95)</f>
        <v>3768</v>
      </c>
      <c r="C2" t="s">
        <v>10</v>
      </c>
      <c r="F2" s="3"/>
      <c r="M2" t="s">
        <v>26</v>
      </c>
    </row>
    <row r="3" spans="1:13" x14ac:dyDescent="0.2">
      <c r="A3" t="s">
        <v>11</v>
      </c>
      <c r="B3" s="2">
        <v>0</v>
      </c>
      <c r="C3" t="s">
        <v>5</v>
      </c>
      <c r="D3" s="63" t="s">
        <v>152</v>
      </c>
      <c r="F3" s="3"/>
    </row>
    <row r="4" spans="1:13" x14ac:dyDescent="0.2">
      <c r="F4" s="3"/>
    </row>
    <row r="5" spans="1:13" x14ac:dyDescent="0.2">
      <c r="B5" s="4" t="s">
        <v>12</v>
      </c>
      <c r="C5" s="4" t="s">
        <v>9</v>
      </c>
      <c r="D5" s="5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31</v>
      </c>
      <c r="J5" s="4" t="s">
        <v>28</v>
      </c>
      <c r="K5" s="18" t="s">
        <v>1</v>
      </c>
      <c r="L5" s="4" t="s">
        <v>34</v>
      </c>
    </row>
    <row r="6" spans="1:13" x14ac:dyDescent="0.2">
      <c r="B6" s="4" t="s">
        <v>18</v>
      </c>
      <c r="C6" s="4" t="s">
        <v>10</v>
      </c>
      <c r="D6" s="4" t="s">
        <v>6</v>
      </c>
      <c r="E6" s="4" t="s">
        <v>5</v>
      </c>
      <c r="F6" s="4" t="s">
        <v>6</v>
      </c>
      <c r="G6" s="4" t="s">
        <v>19</v>
      </c>
      <c r="H6" s="4" t="s">
        <v>7</v>
      </c>
      <c r="I6" s="4"/>
      <c r="J6" s="4" t="s">
        <v>32</v>
      </c>
      <c r="K6" s="4" t="s">
        <v>19</v>
      </c>
      <c r="L6" s="4" t="s">
        <v>35</v>
      </c>
    </row>
    <row r="7" spans="1:13" x14ac:dyDescent="0.2">
      <c r="B7" s="93" t="s">
        <v>156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">
      <c r="A8">
        <v>1</v>
      </c>
      <c r="B8" s="1" t="str">
        <f t="shared" ref="B8:B22" si="0">IF(ISNA(VLOOKUP($A8,Solutions_ECS,2,FALSE))=TRUE,"Hors Gamme",VLOOKUP($A8,Solutions_ECS,2,FALSE))</f>
        <v>2 - OB 2000</v>
      </c>
      <c r="C8" s="3">
        <f>IF(ISNA(VLOOKUP($A8,Solutions_ECS,3,FALSE))=TRUE,0,VLOOKUP($A8,Solutions_ECS,3,FALSE))</f>
        <v>4000</v>
      </c>
      <c r="D8" s="6">
        <f>IF(C8=0,"-",(C8-$B$2)/C8)</f>
        <v>5.8000000000000003E-2</v>
      </c>
      <c r="E8" s="7">
        <f t="shared" ref="E8:E22" si="1">IF(ISNA(VLOOKUP($A8,Solutions_ECS,7,FALSE))=TRUE,0,VLOOKUP($A8,Solutions_ECS,7,FALSE))</f>
        <v>177.6</v>
      </c>
      <c r="F8" s="6">
        <f>IF(E8=0,"-",(E8-$B$3)/E8)</f>
        <v>1</v>
      </c>
      <c r="G8" s="8">
        <f t="shared" ref="G8:G22" si="2">IF(ISNA(VLOOKUP($A8,Solutions_ECS,4,FALSE))=TRUE,0,VLOOKUP($A8,Solutions_ECS,4,FALSE))</f>
        <v>10.199999999999999</v>
      </c>
      <c r="H8" s="3" t="str">
        <f>CONCATENATE($B$1,"°C - ",INT(($B$1-IF(G8=0,0,E8/(1.163*G8)))),"°C")</f>
        <v>70°C - 55°C</v>
      </c>
      <c r="I8" s="16" t="str">
        <f t="shared" ref="I8:I22" si="3">IF(ISNA(VLOOKUP($A8,$A$26:$K$137,11,FALSE)),0,VLOOKUP($A8,$A$26:$K$137,11,FALSE))</f>
        <v>2 préparateurs OB 2000 raccordés en parallèle</v>
      </c>
      <c r="J8" s="17">
        <f t="shared" ref="J8:J22" si="4">IF(ISNA(VLOOKUP($A8,$A$26:$M$131,13,FALSE))=TRUE,0,VLOOKUP($A8,$A$26:$M$131,13,FALSE))</f>
        <v>31</v>
      </c>
      <c r="K8" s="19">
        <f t="shared" ref="K8:K22" si="5">IF(ISNA(VLOOKUP($A8,$A$26:$N$131,14,FALSE))=TRUE,0,VLOOKUP($A8,$A$26:$N$131,14,FALSE))</f>
        <v>3.0619999999999998</v>
      </c>
      <c r="L8" s="20">
        <f t="shared" ref="L8:L22" si="6">IF(ISNA(VLOOKUP($A8,$A$26:$N$131,9,FALSE))=TRUE,0,VLOOKUP($A8,$A$26:$N$131,9,FALSE))</f>
        <v>0</v>
      </c>
    </row>
    <row r="9" spans="1:13" x14ac:dyDescent="0.2">
      <c r="A9">
        <v>2</v>
      </c>
      <c r="B9" s="1" t="str">
        <f t="shared" si="0"/>
        <v>2 - OB 2500</v>
      </c>
      <c r="C9" s="3">
        <f t="shared" ref="C9:C22" si="7">IF(ISNA(VLOOKUP($A9,Solutions_ECS,3,FALSE))=TRUE,0,VLOOKUP($A9,Solutions_ECS,3,FALSE))</f>
        <v>5000</v>
      </c>
      <c r="D9" s="6">
        <f t="shared" ref="D9:D22" si="8">IF(C9=0,"-",(C9-$B$2)/C9)</f>
        <v>0.24640000000000001</v>
      </c>
      <c r="E9" s="7">
        <f t="shared" si="1"/>
        <v>177.6</v>
      </c>
      <c r="F9" s="6">
        <f t="shared" ref="F9:F22" si="9">IF(E9=0,"-",(E9-$B$3)/E9)</f>
        <v>1</v>
      </c>
      <c r="G9" s="8">
        <f t="shared" si="2"/>
        <v>10.199999999999999</v>
      </c>
      <c r="H9" s="3" t="str">
        <f t="shared" ref="H9:H22" si="10">CONCATENATE($B$1,"°C - ",INT(($B$1-IF(G9=0,0,E9/(1.163*G9)))),"°C")</f>
        <v>70°C - 55°C</v>
      </c>
      <c r="I9" s="16" t="str">
        <f t="shared" si="3"/>
        <v>2 préparateurs OB 2500 raccordés en parallèle</v>
      </c>
      <c r="J9" s="17">
        <f t="shared" si="4"/>
        <v>31</v>
      </c>
      <c r="K9" s="19">
        <f t="shared" si="5"/>
        <v>3.0619999999999998</v>
      </c>
      <c r="L9" s="20">
        <f t="shared" si="6"/>
        <v>0</v>
      </c>
    </row>
    <row r="10" spans="1:13" x14ac:dyDescent="0.2">
      <c r="A10">
        <v>3</v>
      </c>
      <c r="B10" s="1" t="str">
        <f t="shared" si="0"/>
        <v>2 - OB 3000</v>
      </c>
      <c r="C10" s="3">
        <f t="shared" si="7"/>
        <v>6000</v>
      </c>
      <c r="D10" s="6">
        <f t="shared" si="8"/>
        <v>0.372</v>
      </c>
      <c r="E10" s="7">
        <f t="shared" si="1"/>
        <v>177.6</v>
      </c>
      <c r="F10" s="6">
        <f t="shared" si="9"/>
        <v>1</v>
      </c>
      <c r="G10" s="8">
        <f t="shared" si="2"/>
        <v>10.199999999999999</v>
      </c>
      <c r="H10" s="3" t="str">
        <f t="shared" si="10"/>
        <v>70°C - 55°C</v>
      </c>
      <c r="I10" s="16" t="str">
        <f t="shared" si="3"/>
        <v>2 préparateurs OB 3000 raccordés en parallèle</v>
      </c>
      <c r="J10" s="17">
        <f t="shared" si="4"/>
        <v>31</v>
      </c>
      <c r="K10" s="19">
        <f t="shared" si="5"/>
        <v>3.0619999999999998</v>
      </c>
      <c r="L10" s="20">
        <f t="shared" si="6"/>
        <v>0</v>
      </c>
    </row>
    <row r="11" spans="1:13" x14ac:dyDescent="0.2">
      <c r="A11">
        <v>4</v>
      </c>
      <c r="B11" s="1" t="str">
        <f t="shared" si="0"/>
        <v>Hors Gamme</v>
      </c>
      <c r="C11" s="3">
        <f t="shared" si="7"/>
        <v>0</v>
      </c>
      <c r="D11" s="6" t="str">
        <f t="shared" si="8"/>
        <v>-</v>
      </c>
      <c r="E11" s="7">
        <f t="shared" si="1"/>
        <v>0</v>
      </c>
      <c r="F11" s="6" t="str">
        <f t="shared" si="9"/>
        <v>-</v>
      </c>
      <c r="G11" s="8">
        <f t="shared" si="2"/>
        <v>0</v>
      </c>
      <c r="H11" s="3" t="str">
        <f t="shared" si="10"/>
        <v>70°C - 70°C</v>
      </c>
      <c r="I11" s="16">
        <f t="shared" si="3"/>
        <v>0</v>
      </c>
      <c r="J11" s="17">
        <f t="shared" si="4"/>
        <v>0</v>
      </c>
      <c r="K11" s="19">
        <f t="shared" si="5"/>
        <v>0</v>
      </c>
      <c r="L11" s="20">
        <f t="shared" si="6"/>
        <v>0</v>
      </c>
    </row>
    <row r="12" spans="1:13" x14ac:dyDescent="0.2">
      <c r="A12">
        <v>5</v>
      </c>
      <c r="B12" s="1" t="str">
        <f t="shared" si="0"/>
        <v>Hors Gamme</v>
      </c>
      <c r="C12" s="3">
        <f t="shared" si="7"/>
        <v>0</v>
      </c>
      <c r="D12" s="6" t="str">
        <f t="shared" si="8"/>
        <v>-</v>
      </c>
      <c r="E12" s="7">
        <f t="shared" si="1"/>
        <v>0</v>
      </c>
      <c r="F12" s="6" t="str">
        <f t="shared" si="9"/>
        <v>-</v>
      </c>
      <c r="G12" s="8">
        <f t="shared" si="2"/>
        <v>0</v>
      </c>
      <c r="H12" s="3" t="str">
        <f t="shared" si="10"/>
        <v>70°C - 70°C</v>
      </c>
      <c r="I12" s="16">
        <f t="shared" si="3"/>
        <v>0</v>
      </c>
      <c r="J12" s="17">
        <f t="shared" si="4"/>
        <v>0</v>
      </c>
      <c r="K12" s="19">
        <f t="shared" si="5"/>
        <v>0</v>
      </c>
      <c r="L12" s="20">
        <f t="shared" si="6"/>
        <v>0</v>
      </c>
    </row>
    <row r="13" spans="1:13" x14ac:dyDescent="0.2">
      <c r="A13">
        <v>6</v>
      </c>
      <c r="B13" s="1" t="str">
        <f t="shared" si="0"/>
        <v>Hors Gamme</v>
      </c>
      <c r="C13" s="3">
        <f t="shared" si="7"/>
        <v>0</v>
      </c>
      <c r="D13" s="6" t="str">
        <f t="shared" si="8"/>
        <v>-</v>
      </c>
      <c r="E13" s="7">
        <f t="shared" si="1"/>
        <v>0</v>
      </c>
      <c r="F13" s="6" t="str">
        <f t="shared" si="9"/>
        <v>-</v>
      </c>
      <c r="G13" s="8">
        <f t="shared" si="2"/>
        <v>0</v>
      </c>
      <c r="H13" s="3" t="str">
        <f t="shared" si="10"/>
        <v>70°C - 70°C</v>
      </c>
      <c r="I13" s="16">
        <f t="shared" si="3"/>
        <v>0</v>
      </c>
      <c r="J13" s="17">
        <f t="shared" si="4"/>
        <v>0</v>
      </c>
      <c r="K13" s="19">
        <f t="shared" si="5"/>
        <v>0</v>
      </c>
      <c r="L13" s="20">
        <f t="shared" si="6"/>
        <v>0</v>
      </c>
    </row>
    <row r="14" spans="1:13" x14ac:dyDescent="0.2">
      <c r="A14">
        <v>7</v>
      </c>
      <c r="B14" s="1" t="str">
        <f t="shared" si="0"/>
        <v>Hors Gamme</v>
      </c>
      <c r="C14" s="3">
        <f t="shared" si="7"/>
        <v>0</v>
      </c>
      <c r="D14" s="6" t="str">
        <f t="shared" si="8"/>
        <v>-</v>
      </c>
      <c r="E14" s="7">
        <f t="shared" si="1"/>
        <v>0</v>
      </c>
      <c r="F14" s="6" t="str">
        <f t="shared" si="9"/>
        <v>-</v>
      </c>
      <c r="G14" s="8">
        <f t="shared" si="2"/>
        <v>0</v>
      </c>
      <c r="H14" s="3" t="str">
        <f t="shared" si="10"/>
        <v>70°C - 70°C</v>
      </c>
      <c r="I14" s="16">
        <f t="shared" si="3"/>
        <v>0</v>
      </c>
      <c r="J14" s="17">
        <f t="shared" si="4"/>
        <v>0</v>
      </c>
      <c r="K14" s="19">
        <f t="shared" si="5"/>
        <v>0</v>
      </c>
      <c r="L14" s="20">
        <f t="shared" si="6"/>
        <v>0</v>
      </c>
    </row>
    <row r="15" spans="1:13" x14ac:dyDescent="0.2">
      <c r="A15">
        <v>8</v>
      </c>
      <c r="B15" s="1" t="str">
        <f t="shared" si="0"/>
        <v>Hors Gamme</v>
      </c>
      <c r="C15" s="3">
        <f t="shared" si="7"/>
        <v>0</v>
      </c>
      <c r="D15" s="6" t="str">
        <f t="shared" si="8"/>
        <v>-</v>
      </c>
      <c r="E15" s="7">
        <f t="shared" si="1"/>
        <v>0</v>
      </c>
      <c r="F15" s="6" t="str">
        <f t="shared" si="9"/>
        <v>-</v>
      </c>
      <c r="G15" s="8">
        <f t="shared" si="2"/>
        <v>0</v>
      </c>
      <c r="H15" s="3" t="str">
        <f t="shared" si="10"/>
        <v>70°C - 70°C</v>
      </c>
      <c r="I15" s="16">
        <f t="shared" si="3"/>
        <v>0</v>
      </c>
      <c r="J15" s="17">
        <f t="shared" si="4"/>
        <v>0</v>
      </c>
      <c r="K15" s="19">
        <f t="shared" si="5"/>
        <v>0</v>
      </c>
      <c r="L15" s="20">
        <f t="shared" si="6"/>
        <v>0</v>
      </c>
    </row>
    <row r="16" spans="1:13" x14ac:dyDescent="0.2">
      <c r="A16">
        <v>9</v>
      </c>
      <c r="B16" s="1" t="str">
        <f t="shared" si="0"/>
        <v>Hors Gamme</v>
      </c>
      <c r="C16" s="3">
        <f t="shared" si="7"/>
        <v>0</v>
      </c>
      <c r="D16" s="6" t="str">
        <f t="shared" si="8"/>
        <v>-</v>
      </c>
      <c r="E16" s="7">
        <f t="shared" si="1"/>
        <v>0</v>
      </c>
      <c r="F16" s="6" t="str">
        <f t="shared" si="9"/>
        <v>-</v>
      </c>
      <c r="G16" s="8">
        <f t="shared" si="2"/>
        <v>0</v>
      </c>
      <c r="H16" s="3" t="str">
        <f t="shared" si="10"/>
        <v>70°C - 70°C</v>
      </c>
      <c r="I16" s="16">
        <f t="shared" si="3"/>
        <v>0</v>
      </c>
      <c r="J16" s="17">
        <f t="shared" si="4"/>
        <v>0</v>
      </c>
      <c r="K16" s="19">
        <f t="shared" si="5"/>
        <v>0</v>
      </c>
      <c r="L16" s="20">
        <f t="shared" si="6"/>
        <v>0</v>
      </c>
    </row>
    <row r="17" spans="1:17" x14ac:dyDescent="0.2">
      <c r="A17">
        <v>10</v>
      </c>
      <c r="B17" s="1" t="str">
        <f t="shared" si="0"/>
        <v>Hors Gamme</v>
      </c>
      <c r="C17" s="3">
        <f t="shared" si="7"/>
        <v>0</v>
      </c>
      <c r="D17" s="6" t="str">
        <f t="shared" si="8"/>
        <v>-</v>
      </c>
      <c r="E17" s="7">
        <f t="shared" si="1"/>
        <v>0</v>
      </c>
      <c r="F17" s="6" t="str">
        <f t="shared" si="9"/>
        <v>-</v>
      </c>
      <c r="G17" s="8">
        <f t="shared" si="2"/>
        <v>0</v>
      </c>
      <c r="H17" s="3" t="str">
        <f t="shared" si="10"/>
        <v>70°C - 70°C</v>
      </c>
      <c r="I17" s="16">
        <f t="shared" si="3"/>
        <v>0</v>
      </c>
      <c r="J17" s="17">
        <f t="shared" si="4"/>
        <v>0</v>
      </c>
      <c r="K17" s="19">
        <f t="shared" si="5"/>
        <v>0</v>
      </c>
      <c r="L17" s="20">
        <f t="shared" si="6"/>
        <v>0</v>
      </c>
    </row>
    <row r="18" spans="1:17" x14ac:dyDescent="0.2">
      <c r="A18">
        <v>11</v>
      </c>
      <c r="B18" s="1" t="str">
        <f t="shared" si="0"/>
        <v>Hors Gamme</v>
      </c>
      <c r="C18" s="3">
        <f t="shared" si="7"/>
        <v>0</v>
      </c>
      <c r="D18" s="6" t="str">
        <f t="shared" si="8"/>
        <v>-</v>
      </c>
      <c r="E18" s="7">
        <f t="shared" si="1"/>
        <v>0</v>
      </c>
      <c r="F18" s="6" t="str">
        <f t="shared" si="9"/>
        <v>-</v>
      </c>
      <c r="G18" s="8">
        <f t="shared" si="2"/>
        <v>0</v>
      </c>
      <c r="H18" s="3" t="str">
        <f t="shared" si="10"/>
        <v>70°C - 70°C</v>
      </c>
      <c r="I18" s="16">
        <f t="shared" si="3"/>
        <v>0</v>
      </c>
      <c r="J18" s="17">
        <f t="shared" si="4"/>
        <v>0</v>
      </c>
      <c r="K18" s="19">
        <f t="shared" si="5"/>
        <v>0</v>
      </c>
      <c r="L18" s="20">
        <f t="shared" si="6"/>
        <v>0</v>
      </c>
    </row>
    <row r="19" spans="1:17" x14ac:dyDescent="0.2">
      <c r="A19">
        <v>12</v>
      </c>
      <c r="B19" s="1" t="str">
        <f t="shared" si="0"/>
        <v>Hors Gamme</v>
      </c>
      <c r="C19" s="3">
        <f t="shared" si="7"/>
        <v>0</v>
      </c>
      <c r="D19" s="6" t="str">
        <f t="shared" si="8"/>
        <v>-</v>
      </c>
      <c r="E19" s="7">
        <f t="shared" si="1"/>
        <v>0</v>
      </c>
      <c r="F19" s="6" t="str">
        <f t="shared" si="9"/>
        <v>-</v>
      </c>
      <c r="G19" s="8">
        <f t="shared" si="2"/>
        <v>0</v>
      </c>
      <c r="H19" s="3" t="str">
        <f t="shared" si="10"/>
        <v>70°C - 70°C</v>
      </c>
      <c r="I19" s="16">
        <f t="shared" si="3"/>
        <v>0</v>
      </c>
      <c r="J19" s="17">
        <f t="shared" si="4"/>
        <v>0</v>
      </c>
      <c r="K19" s="19">
        <f t="shared" si="5"/>
        <v>0</v>
      </c>
      <c r="L19" s="20">
        <f t="shared" si="6"/>
        <v>0</v>
      </c>
    </row>
    <row r="20" spans="1:17" x14ac:dyDescent="0.2">
      <c r="A20">
        <v>13</v>
      </c>
      <c r="B20" s="1" t="str">
        <f t="shared" si="0"/>
        <v>Hors Gamme</v>
      </c>
      <c r="C20" s="3">
        <f t="shared" si="7"/>
        <v>0</v>
      </c>
      <c r="D20" s="6" t="str">
        <f t="shared" si="8"/>
        <v>-</v>
      </c>
      <c r="E20" s="7">
        <f t="shared" si="1"/>
        <v>0</v>
      </c>
      <c r="F20" s="6" t="str">
        <f t="shared" si="9"/>
        <v>-</v>
      </c>
      <c r="G20" s="8">
        <f t="shared" si="2"/>
        <v>0</v>
      </c>
      <c r="H20" s="3" t="str">
        <f t="shared" si="10"/>
        <v>70°C - 70°C</v>
      </c>
      <c r="I20" s="16">
        <f t="shared" si="3"/>
        <v>0</v>
      </c>
      <c r="J20" s="17">
        <f t="shared" si="4"/>
        <v>0</v>
      </c>
      <c r="K20" s="19">
        <f t="shared" si="5"/>
        <v>0</v>
      </c>
      <c r="L20" s="20">
        <f t="shared" si="6"/>
        <v>0</v>
      </c>
    </row>
    <row r="21" spans="1:17" x14ac:dyDescent="0.2">
      <c r="A21">
        <v>14</v>
      </c>
      <c r="B21" s="1" t="str">
        <f t="shared" si="0"/>
        <v>Hors Gamme</v>
      </c>
      <c r="C21" s="3">
        <f t="shared" si="7"/>
        <v>0</v>
      </c>
      <c r="D21" s="6" t="str">
        <f t="shared" si="8"/>
        <v>-</v>
      </c>
      <c r="E21" s="7">
        <f t="shared" si="1"/>
        <v>0</v>
      </c>
      <c r="F21" s="6" t="str">
        <f t="shared" si="9"/>
        <v>-</v>
      </c>
      <c r="G21" s="8">
        <f t="shared" si="2"/>
        <v>0</v>
      </c>
      <c r="H21" s="3" t="str">
        <f t="shared" si="10"/>
        <v>70°C - 70°C</v>
      </c>
      <c r="I21" s="16">
        <f t="shared" si="3"/>
        <v>0</v>
      </c>
      <c r="J21" s="17">
        <f t="shared" si="4"/>
        <v>0</v>
      </c>
      <c r="K21" s="19">
        <f t="shared" si="5"/>
        <v>0</v>
      </c>
      <c r="L21" s="20">
        <f t="shared" si="6"/>
        <v>0</v>
      </c>
    </row>
    <row r="22" spans="1:17" x14ac:dyDescent="0.2">
      <c r="A22">
        <v>15</v>
      </c>
      <c r="B22" s="1" t="str">
        <f t="shared" si="0"/>
        <v>Hors Gamme</v>
      </c>
      <c r="C22" s="3">
        <f t="shared" si="7"/>
        <v>0</v>
      </c>
      <c r="D22" s="6" t="str">
        <f t="shared" si="8"/>
        <v>-</v>
      </c>
      <c r="E22" s="7">
        <f t="shared" si="1"/>
        <v>0</v>
      </c>
      <c r="F22" s="6" t="str">
        <f t="shared" si="9"/>
        <v>-</v>
      </c>
      <c r="G22" s="8">
        <f t="shared" si="2"/>
        <v>0</v>
      </c>
      <c r="H22" s="3" t="str">
        <f t="shared" si="10"/>
        <v>70°C - 70°C</v>
      </c>
      <c r="I22" s="16">
        <f t="shared" si="3"/>
        <v>0</v>
      </c>
      <c r="J22" s="17">
        <f t="shared" si="4"/>
        <v>0</v>
      </c>
      <c r="K22" s="19">
        <f t="shared" si="5"/>
        <v>0</v>
      </c>
      <c r="L22" s="20">
        <f t="shared" si="6"/>
        <v>0</v>
      </c>
    </row>
    <row r="23" spans="1:17" x14ac:dyDescent="0.2">
      <c r="F23" s="3"/>
    </row>
    <row r="24" spans="1:17" x14ac:dyDescent="0.2">
      <c r="F24" s="3"/>
    </row>
    <row r="25" spans="1:17" x14ac:dyDescent="0.2">
      <c r="F25" s="3"/>
    </row>
    <row r="26" spans="1:17" ht="13.5" thickBot="1" x14ac:dyDescent="0.25">
      <c r="A26" s="9" t="s">
        <v>12</v>
      </c>
      <c r="B26" s="9" t="s">
        <v>20</v>
      </c>
      <c r="C26" s="9" t="s">
        <v>9</v>
      </c>
      <c r="D26" s="9" t="s">
        <v>21</v>
      </c>
      <c r="E26" s="9" t="s">
        <v>22</v>
      </c>
      <c r="F26" s="4" t="s">
        <v>23</v>
      </c>
      <c r="G26" s="9" t="s">
        <v>24</v>
      </c>
      <c r="H26" s="9" t="s">
        <v>29</v>
      </c>
      <c r="I26" s="9" t="s">
        <v>25</v>
      </c>
      <c r="J26" s="9" t="s">
        <v>4</v>
      </c>
      <c r="K26" s="9" t="s">
        <v>31</v>
      </c>
      <c r="L26" s="9" t="s">
        <v>27</v>
      </c>
      <c r="M26" s="9" t="s">
        <v>30</v>
      </c>
      <c r="N26" s="9" t="s">
        <v>33</v>
      </c>
    </row>
    <row r="27" spans="1:17" x14ac:dyDescent="0.2">
      <c r="A27">
        <f>J27</f>
        <v>0</v>
      </c>
      <c r="B27" s="38" t="s">
        <v>320</v>
      </c>
      <c r="C27" s="10">
        <v>145</v>
      </c>
      <c r="D27" s="10">
        <v>3</v>
      </c>
      <c r="E27" s="10">
        <v>70</v>
      </c>
      <c r="F27" s="11">
        <v>60</v>
      </c>
      <c r="G27" s="27">
        <v>13.8</v>
      </c>
      <c r="H27" s="28">
        <f t="shared" ref="H27:H90" si="11">ROUND(G27*1000/1.16/50,0)</f>
        <v>238</v>
      </c>
      <c r="I27" s="10"/>
      <c r="J27">
        <f t="shared" ref="J27:J58" si="12">IF(Tecs=F27,1,0)*IF(E27=$B$1,1,0)*IF(C27&gt;=$B$2,1,0)*IF(G27&gt;=$B$3,1,0)</f>
        <v>0</v>
      </c>
      <c r="K27" s="10" t="str">
        <f>CONCATENATE("1 préparateur ",B27)</f>
        <v>1 préparateur OBLC 150</v>
      </c>
      <c r="L27" s="35">
        <v>110</v>
      </c>
      <c r="M27" s="10">
        <f t="shared" ref="M27:M90" si="13">L27/10</f>
        <v>11</v>
      </c>
      <c r="N27" s="10">
        <f>H27/1000</f>
        <v>0.23799999999999999</v>
      </c>
      <c r="P27" s="22"/>
      <c r="Q27" s="25"/>
    </row>
    <row r="28" spans="1:17" x14ac:dyDescent="0.2">
      <c r="A28">
        <f t="shared" ref="A28:A91" si="14">J28+A27</f>
        <v>0</v>
      </c>
      <c r="B28" s="10" t="s">
        <v>327</v>
      </c>
      <c r="C28" s="10">
        <v>145</v>
      </c>
      <c r="D28" s="10">
        <v>3</v>
      </c>
      <c r="E28" s="10">
        <v>70</v>
      </c>
      <c r="F28" s="11">
        <v>60</v>
      </c>
      <c r="G28" s="29">
        <v>15.4</v>
      </c>
      <c r="H28" s="30">
        <f t="shared" si="11"/>
        <v>266</v>
      </c>
      <c r="I28" s="10"/>
      <c r="J28">
        <f t="shared" si="12"/>
        <v>0</v>
      </c>
      <c r="K28" s="10" t="str">
        <f t="shared" ref="K28:K36" si="15">CONCATENATE("1 préparateur ",B28)</f>
        <v>1 préparateur OBPB 150</v>
      </c>
      <c r="L28" s="34">
        <v>120</v>
      </c>
      <c r="M28" s="10">
        <f t="shared" si="13"/>
        <v>12</v>
      </c>
      <c r="N28" s="10">
        <f t="shared" ref="N28:N86" si="16">H28/1000</f>
        <v>0.26600000000000001</v>
      </c>
      <c r="P28" s="22"/>
      <c r="Q28" s="25"/>
    </row>
    <row r="29" spans="1:17" x14ac:dyDescent="0.2">
      <c r="A29">
        <f t="shared" si="14"/>
        <v>0</v>
      </c>
      <c r="B29" s="10" t="s">
        <v>321</v>
      </c>
      <c r="C29" s="10">
        <v>195</v>
      </c>
      <c r="D29" s="10">
        <v>3</v>
      </c>
      <c r="E29" s="10">
        <v>70</v>
      </c>
      <c r="F29" s="11">
        <v>60</v>
      </c>
      <c r="G29" s="29">
        <v>17.5</v>
      </c>
      <c r="H29" s="30">
        <f t="shared" si="11"/>
        <v>302</v>
      </c>
      <c r="I29" s="10"/>
      <c r="J29">
        <f t="shared" si="12"/>
        <v>0</v>
      </c>
      <c r="K29" s="10" t="str">
        <f t="shared" si="15"/>
        <v>1 préparateur OBLC 200</v>
      </c>
      <c r="L29" s="34">
        <v>120</v>
      </c>
      <c r="M29" s="10">
        <f t="shared" si="13"/>
        <v>12</v>
      </c>
      <c r="N29" s="10">
        <f t="shared" si="16"/>
        <v>0.30199999999999999</v>
      </c>
      <c r="P29" s="22"/>
      <c r="Q29" s="25"/>
    </row>
    <row r="30" spans="1:17" x14ac:dyDescent="0.2">
      <c r="A30">
        <f t="shared" si="14"/>
        <v>0</v>
      </c>
      <c r="B30" s="10" t="s">
        <v>328</v>
      </c>
      <c r="C30" s="10">
        <v>195</v>
      </c>
      <c r="D30" s="10">
        <v>3</v>
      </c>
      <c r="E30" s="10">
        <v>70</v>
      </c>
      <c r="F30" s="11">
        <v>60</v>
      </c>
      <c r="G30" s="29">
        <v>20.7</v>
      </c>
      <c r="H30" s="30">
        <f t="shared" si="11"/>
        <v>357</v>
      </c>
      <c r="I30" s="10"/>
      <c r="J30">
        <f t="shared" si="12"/>
        <v>0</v>
      </c>
      <c r="K30" s="10" t="str">
        <f t="shared" si="15"/>
        <v>1 préparateur OBPB 200</v>
      </c>
      <c r="L30" s="34">
        <v>140</v>
      </c>
      <c r="M30" s="10">
        <f t="shared" si="13"/>
        <v>14</v>
      </c>
      <c r="N30" s="10">
        <f t="shared" si="16"/>
        <v>0.35699999999999998</v>
      </c>
      <c r="P30" s="22"/>
      <c r="Q30" s="25"/>
    </row>
    <row r="31" spans="1:17" x14ac:dyDescent="0.2">
      <c r="A31">
        <f t="shared" si="14"/>
        <v>0</v>
      </c>
      <c r="B31" s="10" t="s">
        <v>322</v>
      </c>
      <c r="C31" s="10">
        <v>295</v>
      </c>
      <c r="D31" s="10">
        <v>3</v>
      </c>
      <c r="E31" s="10">
        <v>70</v>
      </c>
      <c r="F31" s="11">
        <v>60</v>
      </c>
      <c r="G31" s="29">
        <v>20.7</v>
      </c>
      <c r="H31" s="30">
        <f t="shared" si="11"/>
        <v>357</v>
      </c>
      <c r="I31" s="10"/>
      <c r="J31">
        <f t="shared" si="12"/>
        <v>0</v>
      </c>
      <c r="K31" s="10" t="str">
        <f t="shared" si="15"/>
        <v>1 préparateur OBLC 300</v>
      </c>
      <c r="L31" s="34">
        <v>130</v>
      </c>
      <c r="M31" s="10">
        <f t="shared" si="13"/>
        <v>13</v>
      </c>
      <c r="N31" s="10">
        <f t="shared" si="16"/>
        <v>0.35699999999999998</v>
      </c>
      <c r="P31" s="22"/>
      <c r="Q31" s="25"/>
    </row>
    <row r="32" spans="1:17" x14ac:dyDescent="0.2">
      <c r="A32">
        <f t="shared" si="14"/>
        <v>0</v>
      </c>
      <c r="B32" s="10" t="s">
        <v>329</v>
      </c>
      <c r="C32" s="10">
        <v>290</v>
      </c>
      <c r="D32" s="10">
        <v>3</v>
      </c>
      <c r="E32" s="10">
        <v>70</v>
      </c>
      <c r="F32" s="11">
        <v>60</v>
      </c>
      <c r="G32" s="29">
        <v>28.6</v>
      </c>
      <c r="H32" s="30">
        <f t="shared" si="11"/>
        <v>493</v>
      </c>
      <c r="I32" s="10"/>
      <c r="J32">
        <f t="shared" si="12"/>
        <v>0</v>
      </c>
      <c r="K32" s="10" t="str">
        <f t="shared" si="15"/>
        <v>1 préparateur OBPB 300</v>
      </c>
      <c r="L32" s="34">
        <v>170</v>
      </c>
      <c r="M32" s="10">
        <f t="shared" si="13"/>
        <v>17</v>
      </c>
      <c r="N32" s="10">
        <f t="shared" si="16"/>
        <v>0.49299999999999999</v>
      </c>
      <c r="P32" s="22"/>
      <c r="Q32" s="25"/>
    </row>
    <row r="33" spans="1:18" x14ac:dyDescent="0.2">
      <c r="A33">
        <f t="shared" si="14"/>
        <v>0</v>
      </c>
      <c r="B33" s="10" t="s">
        <v>323</v>
      </c>
      <c r="C33" s="10">
        <v>390</v>
      </c>
      <c r="D33" s="10">
        <v>3</v>
      </c>
      <c r="E33" s="10">
        <v>70</v>
      </c>
      <c r="F33" s="11">
        <v>60</v>
      </c>
      <c r="G33" s="29">
        <v>29.7</v>
      </c>
      <c r="H33" s="30">
        <f t="shared" si="11"/>
        <v>512</v>
      </c>
      <c r="I33" s="10"/>
      <c r="J33">
        <f t="shared" si="12"/>
        <v>0</v>
      </c>
      <c r="K33" s="10" t="str">
        <f t="shared" si="15"/>
        <v>1 préparateur OBLC 400</v>
      </c>
      <c r="L33" s="34">
        <v>170</v>
      </c>
      <c r="M33" s="10">
        <f t="shared" si="13"/>
        <v>17</v>
      </c>
      <c r="N33" s="10">
        <f t="shared" si="16"/>
        <v>0.51200000000000001</v>
      </c>
      <c r="P33" s="24"/>
      <c r="Q33" s="25"/>
    </row>
    <row r="34" spans="1:18" x14ac:dyDescent="0.2">
      <c r="A34">
        <f t="shared" si="14"/>
        <v>0</v>
      </c>
      <c r="B34" s="10" t="s">
        <v>330</v>
      </c>
      <c r="C34" s="10">
        <v>385</v>
      </c>
      <c r="D34" s="10">
        <v>3</v>
      </c>
      <c r="E34" s="10">
        <v>70</v>
      </c>
      <c r="F34" s="11">
        <v>60</v>
      </c>
      <c r="G34" s="29">
        <v>36</v>
      </c>
      <c r="H34" s="30">
        <f t="shared" si="11"/>
        <v>621</v>
      </c>
      <c r="I34" s="10"/>
      <c r="J34">
        <f t="shared" si="12"/>
        <v>0</v>
      </c>
      <c r="K34" s="10" t="str">
        <f t="shared" si="15"/>
        <v>1 préparateur OBPB 400</v>
      </c>
      <c r="L34" s="34">
        <v>200</v>
      </c>
      <c r="M34" s="10">
        <f t="shared" si="13"/>
        <v>20</v>
      </c>
      <c r="N34" s="10">
        <f t="shared" si="16"/>
        <v>0.621</v>
      </c>
      <c r="P34" s="24"/>
      <c r="Q34" s="25"/>
    </row>
    <row r="35" spans="1:18" x14ac:dyDescent="0.2">
      <c r="A35">
        <f t="shared" si="14"/>
        <v>0</v>
      </c>
      <c r="B35" s="10" t="s">
        <v>324</v>
      </c>
      <c r="C35" s="10">
        <v>495</v>
      </c>
      <c r="D35" s="10">
        <v>3</v>
      </c>
      <c r="E35" s="10">
        <v>70</v>
      </c>
      <c r="F35" s="11">
        <v>60</v>
      </c>
      <c r="G35" s="29">
        <v>35</v>
      </c>
      <c r="H35" s="30">
        <f t="shared" si="11"/>
        <v>603</v>
      </c>
      <c r="I35" s="10"/>
      <c r="J35">
        <f t="shared" si="12"/>
        <v>0</v>
      </c>
      <c r="K35" s="10" t="str">
        <f t="shared" si="15"/>
        <v>1 préparateur OBLC 500</v>
      </c>
      <c r="L35" s="34">
        <v>200</v>
      </c>
      <c r="M35" s="10">
        <f t="shared" si="13"/>
        <v>20</v>
      </c>
      <c r="N35" s="10">
        <f t="shared" si="16"/>
        <v>0.60299999999999998</v>
      </c>
      <c r="P35" s="24"/>
      <c r="Q35" s="25"/>
    </row>
    <row r="36" spans="1:18" x14ac:dyDescent="0.2">
      <c r="A36">
        <f t="shared" si="14"/>
        <v>0</v>
      </c>
      <c r="B36" s="10" t="s">
        <v>331</v>
      </c>
      <c r="C36" s="10">
        <v>485</v>
      </c>
      <c r="D36" s="10">
        <v>3</v>
      </c>
      <c r="E36" s="10">
        <v>70</v>
      </c>
      <c r="F36" s="11">
        <v>60</v>
      </c>
      <c r="G36" s="29">
        <v>45.6</v>
      </c>
      <c r="H36" s="30">
        <f t="shared" si="11"/>
        <v>786</v>
      </c>
      <c r="I36" s="10"/>
      <c r="J36">
        <f t="shared" si="12"/>
        <v>0</v>
      </c>
      <c r="K36" s="10" t="str">
        <f t="shared" si="15"/>
        <v>1 préparateur OBPB 500</v>
      </c>
      <c r="L36" s="34">
        <v>260</v>
      </c>
      <c r="M36" s="10">
        <f t="shared" si="13"/>
        <v>26</v>
      </c>
      <c r="N36" s="10">
        <f t="shared" si="16"/>
        <v>0.78600000000000003</v>
      </c>
      <c r="P36" s="23"/>
      <c r="Q36" s="25"/>
      <c r="R36" s="26"/>
    </row>
    <row r="37" spans="1:18" x14ac:dyDescent="0.2">
      <c r="A37">
        <f t="shared" si="14"/>
        <v>0</v>
      </c>
      <c r="B37" s="10" t="s">
        <v>364</v>
      </c>
      <c r="C37" s="10">
        <v>590</v>
      </c>
      <c r="D37" s="10">
        <v>6</v>
      </c>
      <c r="E37" s="10">
        <v>70</v>
      </c>
      <c r="F37" s="11">
        <v>60</v>
      </c>
      <c r="G37" s="29">
        <f>2*G31</f>
        <v>41.4</v>
      </c>
      <c r="H37" s="30">
        <f t="shared" si="11"/>
        <v>714</v>
      </c>
      <c r="I37" s="10"/>
      <c r="J37">
        <f t="shared" si="12"/>
        <v>0</v>
      </c>
      <c r="K37" s="10" t="str">
        <f>CONCATENATE("2 préparateurs ",B31," raccordés en parallèle")</f>
        <v>2 préparateurs OBLC 300 raccordés en parallèle</v>
      </c>
      <c r="L37" s="34">
        <f>L31</f>
        <v>130</v>
      </c>
      <c r="M37" s="10">
        <f t="shared" si="13"/>
        <v>13</v>
      </c>
      <c r="N37" s="10">
        <f t="shared" si="16"/>
        <v>0.71399999999999997</v>
      </c>
      <c r="P37" s="23"/>
      <c r="Q37" s="25"/>
      <c r="R37" s="26"/>
    </row>
    <row r="38" spans="1:18" x14ac:dyDescent="0.2">
      <c r="A38">
        <f t="shared" si="14"/>
        <v>0</v>
      </c>
      <c r="B38" s="10" t="s">
        <v>361</v>
      </c>
      <c r="C38" s="10">
        <v>580</v>
      </c>
      <c r="D38" s="10">
        <v>6</v>
      </c>
      <c r="E38" s="10">
        <v>70</v>
      </c>
      <c r="F38" s="11">
        <v>60</v>
      </c>
      <c r="G38" s="29">
        <f>2*G32</f>
        <v>57.2</v>
      </c>
      <c r="H38" s="30">
        <f t="shared" si="11"/>
        <v>986</v>
      </c>
      <c r="I38" s="10"/>
      <c r="J38">
        <f t="shared" si="12"/>
        <v>0</v>
      </c>
      <c r="K38" s="10" t="str">
        <f>CONCATENATE("2 préparateurs ",B32," raccordés en parallèle")</f>
        <v>2 préparateurs OBPB 300 raccordés en parallèle</v>
      </c>
      <c r="L38" s="34">
        <f>L32</f>
        <v>170</v>
      </c>
      <c r="M38" s="10">
        <f t="shared" si="13"/>
        <v>17</v>
      </c>
      <c r="N38" s="10">
        <f t="shared" si="16"/>
        <v>0.98599999999999999</v>
      </c>
      <c r="P38" s="23"/>
      <c r="Q38" s="25"/>
      <c r="R38" s="26"/>
    </row>
    <row r="39" spans="1:18" x14ac:dyDescent="0.2">
      <c r="A39">
        <f t="shared" si="14"/>
        <v>0</v>
      </c>
      <c r="B39" s="10" t="s">
        <v>335</v>
      </c>
      <c r="C39" s="10">
        <v>650</v>
      </c>
      <c r="D39" s="10">
        <v>3.7</v>
      </c>
      <c r="E39" s="10">
        <v>70</v>
      </c>
      <c r="F39" s="11">
        <v>60</v>
      </c>
      <c r="G39" s="32">
        <v>64.599999999999994</v>
      </c>
      <c r="H39" s="30">
        <f t="shared" si="11"/>
        <v>1114</v>
      </c>
      <c r="I39" s="10"/>
      <c r="J39">
        <f t="shared" si="12"/>
        <v>0</v>
      </c>
      <c r="K39" s="10" t="s">
        <v>351</v>
      </c>
      <c r="L39" s="34">
        <v>120</v>
      </c>
      <c r="M39" s="10">
        <f t="shared" si="13"/>
        <v>12</v>
      </c>
      <c r="N39" s="10">
        <f t="shared" si="16"/>
        <v>1.1140000000000001</v>
      </c>
      <c r="P39" s="23"/>
      <c r="Q39" s="25"/>
      <c r="R39" s="26"/>
    </row>
    <row r="40" spans="1:18" x14ac:dyDescent="0.2">
      <c r="A40">
        <f>J40+A42</f>
        <v>0</v>
      </c>
      <c r="B40" s="10" t="s">
        <v>336</v>
      </c>
      <c r="C40" s="10">
        <v>780</v>
      </c>
      <c r="D40" s="10">
        <v>3.7</v>
      </c>
      <c r="E40" s="10">
        <v>70</v>
      </c>
      <c r="F40" s="11">
        <v>60</v>
      </c>
      <c r="G40" s="32">
        <v>64.599999999999994</v>
      </c>
      <c r="H40" s="30">
        <f>ROUND(G40*1000/1.16/50,0)</f>
        <v>1114</v>
      </c>
      <c r="I40" s="10"/>
      <c r="J40">
        <f>IF(Tecs=F40,1,0)*IF(E40=$B$1,1,0)*IF(C40&gt;=$B$2,1,0)*IF(G40&gt;=$B$3,1,0)</f>
        <v>0</v>
      </c>
      <c r="K40" s="10" t="s">
        <v>352</v>
      </c>
      <c r="L40" s="34">
        <v>120</v>
      </c>
      <c r="M40" s="10">
        <f>L40/10</f>
        <v>12</v>
      </c>
      <c r="N40" s="10">
        <f>H40/1000</f>
        <v>1.1140000000000001</v>
      </c>
      <c r="P40" s="23"/>
      <c r="Q40" s="25"/>
      <c r="R40" s="26"/>
    </row>
    <row r="41" spans="1:18" x14ac:dyDescent="0.2">
      <c r="A41">
        <f>J41+A39</f>
        <v>0</v>
      </c>
      <c r="B41" s="10" t="s">
        <v>365</v>
      </c>
      <c r="C41" s="10">
        <v>780</v>
      </c>
      <c r="D41" s="10">
        <v>6</v>
      </c>
      <c r="E41" s="10">
        <v>70</v>
      </c>
      <c r="F41" s="11">
        <v>60</v>
      </c>
      <c r="G41" s="29">
        <f>2*G33</f>
        <v>59.4</v>
      </c>
      <c r="H41" s="30">
        <f t="shared" si="11"/>
        <v>1024</v>
      </c>
      <c r="I41" s="10"/>
      <c r="J41">
        <f t="shared" si="12"/>
        <v>0</v>
      </c>
      <c r="K41" s="10" t="str">
        <f>CONCATENATE("2 préparateurs ",B33," raccordés en parallèle")</f>
        <v>2 préparateurs OBLC 400 raccordés en parallèle</v>
      </c>
      <c r="L41" s="34">
        <f>L33</f>
        <v>170</v>
      </c>
      <c r="M41" s="10">
        <f t="shared" si="13"/>
        <v>17</v>
      </c>
      <c r="N41" s="10">
        <f t="shared" si="16"/>
        <v>1.024</v>
      </c>
      <c r="P41" s="23"/>
      <c r="Q41" s="25"/>
      <c r="R41" s="26"/>
    </row>
    <row r="42" spans="1:18" x14ac:dyDescent="0.2">
      <c r="A42">
        <f t="shared" si="14"/>
        <v>0</v>
      </c>
      <c r="B42" s="10" t="s">
        <v>362</v>
      </c>
      <c r="C42" s="10">
        <v>770</v>
      </c>
      <c r="D42" s="10">
        <v>6</v>
      </c>
      <c r="E42" s="10">
        <v>70</v>
      </c>
      <c r="F42" s="11">
        <v>60</v>
      </c>
      <c r="G42" s="29">
        <f>2*G34</f>
        <v>72</v>
      </c>
      <c r="H42" s="30">
        <f t="shared" si="11"/>
        <v>1241</v>
      </c>
      <c r="I42" s="10"/>
      <c r="J42">
        <f t="shared" si="12"/>
        <v>0</v>
      </c>
      <c r="K42" s="10" t="str">
        <f>CONCATENATE("2 préparateurs ",B34," raccordés en parallèle")</f>
        <v>2 préparateurs OBPB 400 raccordés en parallèle</v>
      </c>
      <c r="L42" s="34">
        <f>L34</f>
        <v>200</v>
      </c>
      <c r="M42" s="10">
        <f t="shared" si="13"/>
        <v>20</v>
      </c>
      <c r="N42" s="10">
        <f t="shared" si="16"/>
        <v>1.2410000000000001</v>
      </c>
      <c r="P42" s="23"/>
      <c r="Q42" s="25"/>
      <c r="R42" s="26"/>
    </row>
    <row r="43" spans="1:18" x14ac:dyDescent="0.2">
      <c r="A43">
        <f>J43+A40</f>
        <v>0</v>
      </c>
      <c r="B43" s="10" t="s">
        <v>366</v>
      </c>
      <c r="C43" s="10">
        <v>990</v>
      </c>
      <c r="D43" s="10">
        <v>9</v>
      </c>
      <c r="E43" s="10">
        <v>70</v>
      </c>
      <c r="F43" s="11">
        <v>60</v>
      </c>
      <c r="G43" s="29">
        <f>3*G31</f>
        <v>62.099999999999994</v>
      </c>
      <c r="H43" s="30">
        <f t="shared" si="11"/>
        <v>1071</v>
      </c>
      <c r="I43" s="10"/>
      <c r="J43">
        <f t="shared" si="12"/>
        <v>0</v>
      </c>
      <c r="K43" s="10" t="str">
        <f>CONCATENATE("3 préparateurs ",B31," raccordés en parallèle")</f>
        <v>3 préparateurs OBLC 300 raccordés en parallèle</v>
      </c>
      <c r="L43" s="34">
        <f>L31</f>
        <v>130</v>
      </c>
      <c r="M43" s="10">
        <f t="shared" si="13"/>
        <v>13</v>
      </c>
      <c r="N43" s="10">
        <f t="shared" si="16"/>
        <v>1.071</v>
      </c>
    </row>
    <row r="44" spans="1:18" x14ac:dyDescent="0.2">
      <c r="A44">
        <f t="shared" si="14"/>
        <v>0</v>
      </c>
      <c r="B44" s="10" t="s">
        <v>332</v>
      </c>
      <c r="C44" s="10">
        <v>870</v>
      </c>
      <c r="D44" s="10">
        <v>9</v>
      </c>
      <c r="E44" s="10">
        <v>70</v>
      </c>
      <c r="F44" s="11">
        <v>60</v>
      </c>
      <c r="G44" s="29">
        <f>3*G32</f>
        <v>85.800000000000011</v>
      </c>
      <c r="H44" s="30">
        <f t="shared" si="11"/>
        <v>1479</v>
      </c>
      <c r="I44" s="10"/>
      <c r="J44">
        <f t="shared" si="12"/>
        <v>0</v>
      </c>
      <c r="K44" s="10" t="str">
        <f>CONCATENATE("3 préparateurs ",B32," raccordés en parallèle")</f>
        <v>3 préparateurs OBPB 300 raccordés en parallèle</v>
      </c>
      <c r="L44" s="34">
        <f>L32</f>
        <v>170</v>
      </c>
      <c r="M44" s="10">
        <f t="shared" si="13"/>
        <v>17</v>
      </c>
      <c r="N44" s="10">
        <f t="shared" si="16"/>
        <v>1.4790000000000001</v>
      </c>
    </row>
    <row r="45" spans="1:18" x14ac:dyDescent="0.2">
      <c r="A45">
        <f t="shared" si="14"/>
        <v>0</v>
      </c>
      <c r="B45" s="10" t="s">
        <v>337</v>
      </c>
      <c r="C45" s="10">
        <v>980</v>
      </c>
      <c r="D45" s="10">
        <v>4.0999999999999996</v>
      </c>
      <c r="E45" s="10">
        <v>70</v>
      </c>
      <c r="F45" s="11">
        <v>60</v>
      </c>
      <c r="G45" s="32">
        <v>71.099999999999994</v>
      </c>
      <c r="H45" s="30">
        <f t="shared" si="11"/>
        <v>1226</v>
      </c>
      <c r="I45" s="10"/>
      <c r="J45">
        <f t="shared" si="12"/>
        <v>0</v>
      </c>
      <c r="K45" s="10" t="s">
        <v>353</v>
      </c>
      <c r="L45" s="34">
        <v>160</v>
      </c>
      <c r="M45" s="10">
        <f t="shared" si="13"/>
        <v>16</v>
      </c>
      <c r="N45" s="10">
        <f t="shared" si="16"/>
        <v>1.226</v>
      </c>
    </row>
    <row r="46" spans="1:18" x14ac:dyDescent="0.2">
      <c r="A46">
        <f t="shared" si="14"/>
        <v>0</v>
      </c>
      <c r="B46" s="10" t="s">
        <v>366</v>
      </c>
      <c r="C46" s="10">
        <v>990</v>
      </c>
      <c r="D46" s="10">
        <v>6</v>
      </c>
      <c r="E46" s="10">
        <v>70</v>
      </c>
      <c r="F46" s="11">
        <v>60</v>
      </c>
      <c r="G46" s="29">
        <f>2*G35</f>
        <v>70</v>
      </c>
      <c r="H46" s="30">
        <f t="shared" si="11"/>
        <v>1207</v>
      </c>
      <c r="I46" s="21"/>
      <c r="J46">
        <f t="shared" si="12"/>
        <v>0</v>
      </c>
      <c r="K46" s="10" t="str">
        <f>CONCATENATE("2 préparateurs ",B35," raccordés en parallèle")</f>
        <v>2 préparateurs OBLC 500 raccordés en parallèle</v>
      </c>
      <c r="L46" s="34">
        <f>L35</f>
        <v>200</v>
      </c>
      <c r="M46" s="10">
        <f t="shared" si="13"/>
        <v>20</v>
      </c>
      <c r="N46" s="10">
        <f t="shared" si="16"/>
        <v>1.2070000000000001</v>
      </c>
    </row>
    <row r="47" spans="1:18" x14ac:dyDescent="0.2">
      <c r="A47">
        <f t="shared" si="14"/>
        <v>0</v>
      </c>
      <c r="B47" s="10" t="s">
        <v>363</v>
      </c>
      <c r="C47" s="10">
        <v>970</v>
      </c>
      <c r="D47" s="10">
        <v>6</v>
      </c>
      <c r="E47" s="10">
        <v>70</v>
      </c>
      <c r="F47" s="11">
        <v>60</v>
      </c>
      <c r="G47" s="29">
        <f>2*G36</f>
        <v>91.2</v>
      </c>
      <c r="H47" s="30">
        <f t="shared" si="11"/>
        <v>1572</v>
      </c>
      <c r="I47" s="21"/>
      <c r="J47">
        <f t="shared" si="12"/>
        <v>0</v>
      </c>
      <c r="K47" s="10" t="str">
        <f>CONCATENATE("2 préparateurs ",B36," raccordés en parallèle")</f>
        <v>2 préparateurs OBPB 500 raccordés en parallèle</v>
      </c>
      <c r="L47" s="34">
        <f>L36</f>
        <v>260</v>
      </c>
      <c r="M47" s="10">
        <f t="shared" si="13"/>
        <v>26</v>
      </c>
      <c r="N47" s="10">
        <f t="shared" si="16"/>
        <v>1.5720000000000001</v>
      </c>
    </row>
    <row r="48" spans="1:18" x14ac:dyDescent="0.2">
      <c r="A48">
        <f t="shared" si="14"/>
        <v>0</v>
      </c>
      <c r="B48" s="10" t="s">
        <v>325</v>
      </c>
      <c r="C48" s="10">
        <v>1170</v>
      </c>
      <c r="D48" s="10">
        <v>9</v>
      </c>
      <c r="E48" s="10">
        <v>70</v>
      </c>
      <c r="F48" s="11">
        <v>60</v>
      </c>
      <c r="G48" s="29">
        <f>3*G33</f>
        <v>89.1</v>
      </c>
      <c r="H48" s="30">
        <f t="shared" si="11"/>
        <v>1536</v>
      </c>
      <c r="I48" s="21"/>
      <c r="J48">
        <f t="shared" si="12"/>
        <v>0</v>
      </c>
      <c r="K48" s="10" t="str">
        <f>CONCATENATE("3 préparateurs ",B33," raccordés en parallèle")</f>
        <v>3 préparateurs OBLC 400 raccordés en parallèle</v>
      </c>
      <c r="L48" s="34">
        <f>L33</f>
        <v>170</v>
      </c>
      <c r="M48" s="10">
        <f t="shared" si="13"/>
        <v>17</v>
      </c>
      <c r="N48" s="10">
        <f t="shared" si="16"/>
        <v>1.536</v>
      </c>
    </row>
    <row r="49" spans="1:14" x14ac:dyDescent="0.2">
      <c r="A49">
        <f t="shared" si="14"/>
        <v>0</v>
      </c>
      <c r="B49" s="10" t="s">
        <v>333</v>
      </c>
      <c r="C49" s="10">
        <v>1155</v>
      </c>
      <c r="D49" s="10">
        <v>9</v>
      </c>
      <c r="E49" s="10">
        <v>70</v>
      </c>
      <c r="F49" s="11">
        <v>60</v>
      </c>
      <c r="G49" s="29">
        <f>3*G34</f>
        <v>108</v>
      </c>
      <c r="H49" s="30">
        <f t="shared" si="11"/>
        <v>1862</v>
      </c>
      <c r="I49" s="21"/>
      <c r="J49">
        <f t="shared" si="12"/>
        <v>0</v>
      </c>
      <c r="K49" s="10" t="str">
        <f>CONCATENATE("3 préparateurs ",B34," raccordés en parallèle")</f>
        <v>3 préparateurs OBPB 400 raccordés en parallèle</v>
      </c>
      <c r="L49" s="34">
        <f>L34</f>
        <v>200</v>
      </c>
      <c r="M49" s="10">
        <f t="shared" si="13"/>
        <v>20</v>
      </c>
      <c r="N49" s="10">
        <f t="shared" si="16"/>
        <v>1.8620000000000001</v>
      </c>
    </row>
    <row r="50" spans="1:14" x14ac:dyDescent="0.2">
      <c r="A50">
        <f t="shared" si="14"/>
        <v>0</v>
      </c>
      <c r="B50" s="10" t="s">
        <v>338</v>
      </c>
      <c r="C50" s="10">
        <v>1300</v>
      </c>
      <c r="D50" s="10">
        <f>2*D39</f>
        <v>7.4</v>
      </c>
      <c r="E50" s="10">
        <v>70</v>
      </c>
      <c r="F50" s="11">
        <v>60</v>
      </c>
      <c r="G50" s="33">
        <f>2*G39</f>
        <v>129.19999999999999</v>
      </c>
      <c r="H50" s="30">
        <f t="shared" si="11"/>
        <v>2228</v>
      </c>
      <c r="I50" s="10"/>
      <c r="J50">
        <f t="shared" si="12"/>
        <v>0</v>
      </c>
      <c r="K50" s="10" t="s">
        <v>354</v>
      </c>
      <c r="L50" s="34">
        <f>L39</f>
        <v>120</v>
      </c>
      <c r="M50" s="10">
        <f t="shared" si="13"/>
        <v>12</v>
      </c>
      <c r="N50" s="10">
        <f t="shared" si="16"/>
        <v>2.2280000000000002</v>
      </c>
    </row>
    <row r="51" spans="1:14" x14ac:dyDescent="0.2">
      <c r="A51">
        <f t="shared" si="14"/>
        <v>0</v>
      </c>
      <c r="B51" s="10" t="s">
        <v>339</v>
      </c>
      <c r="C51" s="10">
        <v>1500</v>
      </c>
      <c r="D51" s="10">
        <v>5.0999999999999996</v>
      </c>
      <c r="E51" s="10">
        <v>70</v>
      </c>
      <c r="F51" s="11">
        <v>60</v>
      </c>
      <c r="G51" s="33">
        <v>88.8</v>
      </c>
      <c r="H51" s="30">
        <f t="shared" si="11"/>
        <v>1531</v>
      </c>
      <c r="I51" s="10"/>
      <c r="J51">
        <f t="shared" si="12"/>
        <v>0</v>
      </c>
      <c r="K51" s="10" t="str">
        <f>CONCATENATE("1 préparateur ",B51)</f>
        <v>1 préparateur OB 1500</v>
      </c>
      <c r="L51" s="34">
        <v>310</v>
      </c>
      <c r="M51" s="10">
        <f t="shared" si="13"/>
        <v>31</v>
      </c>
      <c r="N51" s="10">
        <f t="shared" si="16"/>
        <v>1.5309999999999999</v>
      </c>
    </row>
    <row r="52" spans="1:14" x14ac:dyDescent="0.2">
      <c r="A52">
        <f t="shared" si="14"/>
        <v>0</v>
      </c>
      <c r="B52" s="10" t="s">
        <v>326</v>
      </c>
      <c r="C52" s="10">
        <v>1485</v>
      </c>
      <c r="D52" s="10">
        <v>9</v>
      </c>
      <c r="E52" s="10">
        <v>70</v>
      </c>
      <c r="F52" s="11">
        <v>60</v>
      </c>
      <c r="G52" s="29">
        <f>3*G35</f>
        <v>105</v>
      </c>
      <c r="H52" s="30">
        <f t="shared" si="11"/>
        <v>1810</v>
      </c>
      <c r="I52" s="21"/>
      <c r="J52">
        <f t="shared" si="12"/>
        <v>0</v>
      </c>
      <c r="K52" s="10" t="str">
        <f>CONCATENATE("3 préparateurs ",B35," raccordés en parallèle")</f>
        <v>3 préparateurs OBLC 500 raccordés en parallèle</v>
      </c>
      <c r="L52" s="34">
        <f>L35</f>
        <v>200</v>
      </c>
      <c r="M52" s="10">
        <f t="shared" si="13"/>
        <v>20</v>
      </c>
      <c r="N52" s="10">
        <f t="shared" si="16"/>
        <v>1.81</v>
      </c>
    </row>
    <row r="53" spans="1:14" x14ac:dyDescent="0.2">
      <c r="A53">
        <f t="shared" si="14"/>
        <v>0</v>
      </c>
      <c r="B53" s="10" t="s">
        <v>334</v>
      </c>
      <c r="C53" s="10">
        <v>1455</v>
      </c>
      <c r="D53" s="10">
        <v>9</v>
      </c>
      <c r="E53" s="10">
        <v>70</v>
      </c>
      <c r="F53" s="11">
        <v>60</v>
      </c>
      <c r="G53" s="29">
        <f>3*G36</f>
        <v>136.80000000000001</v>
      </c>
      <c r="H53" s="30">
        <f t="shared" si="11"/>
        <v>2359</v>
      </c>
      <c r="I53" s="21"/>
      <c r="J53">
        <f t="shared" si="12"/>
        <v>0</v>
      </c>
      <c r="K53" s="10" t="str">
        <f>CONCATENATE("3 préparateurs ",B36," raccordés en parallèle")</f>
        <v>3 préparateurs OBPB 500 raccordés en parallèle</v>
      </c>
      <c r="L53" s="34">
        <f>L36</f>
        <v>260</v>
      </c>
      <c r="M53" s="10">
        <f t="shared" si="13"/>
        <v>26</v>
      </c>
      <c r="N53" s="10">
        <f t="shared" si="16"/>
        <v>2.359</v>
      </c>
    </row>
    <row r="54" spans="1:14" x14ac:dyDescent="0.2">
      <c r="A54">
        <f t="shared" si="14"/>
        <v>0</v>
      </c>
      <c r="B54" s="10" t="s">
        <v>340</v>
      </c>
      <c r="C54" s="10">
        <v>1560</v>
      </c>
      <c r="D54" s="10">
        <f>2*D40</f>
        <v>7.4</v>
      </c>
      <c r="E54" s="10">
        <v>70</v>
      </c>
      <c r="F54" s="11">
        <v>60</v>
      </c>
      <c r="G54" s="32">
        <f>2*G40</f>
        <v>129.19999999999999</v>
      </c>
      <c r="H54" s="30">
        <f t="shared" si="11"/>
        <v>2228</v>
      </c>
      <c r="I54" s="10"/>
      <c r="J54">
        <f t="shared" si="12"/>
        <v>0</v>
      </c>
      <c r="K54" s="10" t="s">
        <v>355</v>
      </c>
      <c r="L54" s="34">
        <f>L40</f>
        <v>120</v>
      </c>
      <c r="M54" s="10">
        <f t="shared" si="13"/>
        <v>12</v>
      </c>
      <c r="N54" s="10">
        <f t="shared" si="16"/>
        <v>2.2280000000000002</v>
      </c>
    </row>
    <row r="55" spans="1:14" x14ac:dyDescent="0.2">
      <c r="A55">
        <f t="shared" si="14"/>
        <v>0</v>
      </c>
      <c r="B55" s="10" t="s">
        <v>341</v>
      </c>
      <c r="C55" s="10">
        <v>1950</v>
      </c>
      <c r="D55" s="10">
        <f>3*D39</f>
        <v>11.100000000000001</v>
      </c>
      <c r="E55" s="10">
        <v>70</v>
      </c>
      <c r="F55" s="11">
        <v>60</v>
      </c>
      <c r="G55" s="33">
        <f>3*G39</f>
        <v>193.79999999999998</v>
      </c>
      <c r="H55" s="30">
        <f t="shared" si="11"/>
        <v>3341</v>
      </c>
      <c r="I55" s="10"/>
      <c r="J55">
        <f t="shared" si="12"/>
        <v>0</v>
      </c>
      <c r="K55" s="10" t="s">
        <v>356</v>
      </c>
      <c r="L55" s="34">
        <f>L39</f>
        <v>120</v>
      </c>
      <c r="M55" s="10">
        <f t="shared" si="13"/>
        <v>12</v>
      </c>
      <c r="N55" s="10">
        <f t="shared" si="16"/>
        <v>3.3410000000000002</v>
      </c>
    </row>
    <row r="56" spans="1:14" x14ac:dyDescent="0.2">
      <c r="A56">
        <f>J56+A57</f>
        <v>0</v>
      </c>
      <c r="B56" s="10" t="s">
        <v>343</v>
      </c>
      <c r="C56" s="10">
        <v>1960</v>
      </c>
      <c r="D56" s="10">
        <f>2*D45</f>
        <v>8.1999999999999993</v>
      </c>
      <c r="E56" s="10">
        <v>70</v>
      </c>
      <c r="F56" s="11">
        <v>60</v>
      </c>
      <c r="G56" s="32">
        <f>2*G45</f>
        <v>142.19999999999999</v>
      </c>
      <c r="H56" s="30">
        <f>ROUND(G56*1000/1.16/50,0)</f>
        <v>2452</v>
      </c>
      <c r="I56" s="10"/>
      <c r="J56">
        <f>IF(Tecs=F56,1,0)*IF(E56=$B$1,1,0)*IF(C56&gt;=$B$2,1,0)*IF(G56&gt;=$B$3,1,0)</f>
        <v>0</v>
      </c>
      <c r="K56" s="10" t="s">
        <v>357</v>
      </c>
      <c r="L56" s="34">
        <f>L45</f>
        <v>160</v>
      </c>
      <c r="M56" s="10">
        <f>L56/10</f>
        <v>16</v>
      </c>
      <c r="N56" s="10">
        <f>H56/1000</f>
        <v>2.452</v>
      </c>
    </row>
    <row r="57" spans="1:14" x14ac:dyDescent="0.2">
      <c r="A57">
        <f>J57+A55</f>
        <v>0</v>
      </c>
      <c r="B57" s="10" t="s">
        <v>342</v>
      </c>
      <c r="C57" s="10">
        <v>2000</v>
      </c>
      <c r="D57" s="10">
        <v>5.0999999999999996</v>
      </c>
      <c r="E57" s="10">
        <v>70</v>
      </c>
      <c r="F57" s="11">
        <v>60</v>
      </c>
      <c r="G57" s="33">
        <v>88.8</v>
      </c>
      <c r="H57" s="30">
        <f t="shared" si="11"/>
        <v>1531</v>
      </c>
      <c r="I57" s="10"/>
      <c r="J57">
        <f t="shared" si="12"/>
        <v>0</v>
      </c>
      <c r="K57" s="10" t="str">
        <f>CONCATENATE("1 préparateur ",B57)</f>
        <v>1 préparateur OB 2000</v>
      </c>
      <c r="L57" s="34">
        <v>310</v>
      </c>
      <c r="M57" s="10">
        <f t="shared" si="13"/>
        <v>31</v>
      </c>
      <c r="N57" s="10">
        <f t="shared" si="16"/>
        <v>1.5309999999999999</v>
      </c>
    </row>
    <row r="58" spans="1:14" x14ac:dyDescent="0.2">
      <c r="A58">
        <f>J58+A56</f>
        <v>0</v>
      </c>
      <c r="B58" s="10" t="s">
        <v>344</v>
      </c>
      <c r="C58" s="10">
        <v>2500</v>
      </c>
      <c r="D58" s="10">
        <v>5.0999999999999996</v>
      </c>
      <c r="E58" s="10">
        <v>70</v>
      </c>
      <c r="F58" s="11">
        <v>60</v>
      </c>
      <c r="G58" s="33">
        <v>88.8</v>
      </c>
      <c r="H58" s="30">
        <f>ROUND(G58*1000/1.16/50,0)</f>
        <v>1531</v>
      </c>
      <c r="I58" s="10"/>
      <c r="J58">
        <f t="shared" si="12"/>
        <v>0</v>
      </c>
      <c r="K58" s="10" t="str">
        <f>CONCATENATE("1 préparateur ",B58)</f>
        <v>1 préparateur OB 2500</v>
      </c>
      <c r="L58" s="34">
        <v>310</v>
      </c>
      <c r="M58" s="10">
        <f t="shared" si="13"/>
        <v>31</v>
      </c>
      <c r="N58" s="10">
        <f t="shared" si="16"/>
        <v>1.5309999999999999</v>
      </c>
    </row>
    <row r="59" spans="1:14" x14ac:dyDescent="0.2">
      <c r="A59">
        <f t="shared" si="14"/>
        <v>0</v>
      </c>
      <c r="B59" s="10" t="s">
        <v>345</v>
      </c>
      <c r="C59" s="10">
        <v>3000</v>
      </c>
      <c r="D59" s="10">
        <f>2*D51</f>
        <v>10.199999999999999</v>
      </c>
      <c r="E59" s="10">
        <v>70</v>
      </c>
      <c r="F59" s="11">
        <v>60</v>
      </c>
      <c r="G59" s="33">
        <f>2*G51</f>
        <v>177.6</v>
      </c>
      <c r="H59" s="30">
        <f t="shared" ref="H59:H65" si="17">ROUND(G59*1000/1.16/50,0)</f>
        <v>3062</v>
      </c>
      <c r="I59" s="10"/>
      <c r="J59">
        <f t="shared" ref="J59:J90" si="18">IF(Tecs=F59,1,0)*IF(E59=$B$1,1,0)*IF(C59&gt;=$B$2,1,0)*IF(G59&gt;=$B$3,1,0)</f>
        <v>0</v>
      </c>
      <c r="K59" s="10" t="s">
        <v>358</v>
      </c>
      <c r="L59" s="34">
        <v>310</v>
      </c>
      <c r="M59" s="10">
        <f>L59/10</f>
        <v>31</v>
      </c>
      <c r="N59" s="10">
        <f t="shared" si="16"/>
        <v>3.0619999999999998</v>
      </c>
    </row>
    <row r="60" spans="1:14" x14ac:dyDescent="0.2">
      <c r="A60">
        <f t="shared" si="14"/>
        <v>0</v>
      </c>
      <c r="B60" s="10" t="s">
        <v>346</v>
      </c>
      <c r="C60" s="10">
        <v>3000</v>
      </c>
      <c r="D60" s="10">
        <v>5.0999999999999996</v>
      </c>
      <c r="E60" s="10">
        <v>70</v>
      </c>
      <c r="F60" s="11">
        <v>60</v>
      </c>
      <c r="G60" s="33">
        <v>88.8</v>
      </c>
      <c r="H60" s="30">
        <f t="shared" si="17"/>
        <v>1531</v>
      </c>
      <c r="I60" s="10"/>
      <c r="J60">
        <f t="shared" si="18"/>
        <v>0</v>
      </c>
      <c r="K60" s="10" t="str">
        <f>CONCATENATE("1 préparateur ",B60)</f>
        <v>1 préparateur OB 3000</v>
      </c>
      <c r="L60" s="34">
        <v>310</v>
      </c>
      <c r="M60" s="10">
        <f>L60/10</f>
        <v>31</v>
      </c>
      <c r="N60" s="10">
        <f t="shared" si="16"/>
        <v>1.5309999999999999</v>
      </c>
    </row>
    <row r="61" spans="1:14" x14ac:dyDescent="0.2">
      <c r="A61">
        <f t="shared" si="14"/>
        <v>1</v>
      </c>
      <c r="B61" s="10" t="s">
        <v>347</v>
      </c>
      <c r="C61" s="10">
        <v>4000</v>
      </c>
      <c r="D61" s="10">
        <f>2*D57</f>
        <v>10.199999999999999</v>
      </c>
      <c r="E61" s="10">
        <v>70</v>
      </c>
      <c r="F61" s="11">
        <v>60</v>
      </c>
      <c r="G61" s="33">
        <f>2*G57</f>
        <v>177.6</v>
      </c>
      <c r="H61" s="30">
        <f t="shared" si="17"/>
        <v>3062</v>
      </c>
      <c r="I61" s="10"/>
      <c r="J61">
        <f t="shared" si="18"/>
        <v>1</v>
      </c>
      <c r="K61" s="10" t="s">
        <v>359</v>
      </c>
      <c r="L61" s="34">
        <f>+L57</f>
        <v>310</v>
      </c>
      <c r="M61" s="10">
        <f>L61/10</f>
        <v>31</v>
      </c>
      <c r="N61" s="10">
        <f t="shared" si="16"/>
        <v>3.0619999999999998</v>
      </c>
    </row>
    <row r="62" spans="1:14" x14ac:dyDescent="0.2">
      <c r="A62">
        <f t="shared" si="14"/>
        <v>2</v>
      </c>
      <c r="B62" s="10" t="s">
        <v>348</v>
      </c>
      <c r="C62" s="10">
        <v>5000</v>
      </c>
      <c r="D62" s="10">
        <f>2*D58</f>
        <v>10.199999999999999</v>
      </c>
      <c r="E62" s="10">
        <v>70</v>
      </c>
      <c r="F62" s="11">
        <v>60</v>
      </c>
      <c r="G62" s="33">
        <f>2*G58</f>
        <v>177.6</v>
      </c>
      <c r="H62" s="30">
        <f t="shared" si="17"/>
        <v>3062</v>
      </c>
      <c r="I62" s="10"/>
      <c r="J62">
        <f t="shared" si="18"/>
        <v>1</v>
      </c>
      <c r="K62" s="10" t="s">
        <v>360</v>
      </c>
      <c r="L62" s="34">
        <v>310</v>
      </c>
      <c r="M62" s="10">
        <f>L62/10</f>
        <v>31</v>
      </c>
      <c r="N62" s="10">
        <f t="shared" si="16"/>
        <v>3.0619999999999998</v>
      </c>
    </row>
    <row r="63" spans="1:14" ht="13.5" thickBot="1" x14ac:dyDescent="0.25">
      <c r="A63">
        <f t="shared" si="14"/>
        <v>3</v>
      </c>
      <c r="B63" s="10" t="s">
        <v>349</v>
      </c>
      <c r="C63" s="10">
        <v>6000</v>
      </c>
      <c r="D63" s="10">
        <f>2*D60</f>
        <v>10.199999999999999</v>
      </c>
      <c r="E63" s="10">
        <v>70</v>
      </c>
      <c r="F63" s="11">
        <v>60</v>
      </c>
      <c r="G63" s="33">
        <f>2*G60</f>
        <v>177.6</v>
      </c>
      <c r="H63" s="30">
        <f t="shared" si="17"/>
        <v>3062</v>
      </c>
      <c r="I63" s="10"/>
      <c r="J63">
        <f t="shared" si="18"/>
        <v>1</v>
      </c>
      <c r="K63" s="10" t="s">
        <v>350</v>
      </c>
      <c r="L63" s="34">
        <v>310</v>
      </c>
      <c r="M63" s="10">
        <f>L63/10</f>
        <v>31</v>
      </c>
      <c r="N63" s="10">
        <f t="shared" si="16"/>
        <v>3.0619999999999998</v>
      </c>
    </row>
    <row r="64" spans="1:14" x14ac:dyDescent="0.2">
      <c r="A64">
        <f t="shared" si="14"/>
        <v>3</v>
      </c>
      <c r="B64" s="12" t="s">
        <v>320</v>
      </c>
      <c r="C64" s="12">
        <v>145</v>
      </c>
      <c r="D64" s="12">
        <v>3</v>
      </c>
      <c r="E64" s="12">
        <v>80</v>
      </c>
      <c r="F64" s="13">
        <v>60</v>
      </c>
      <c r="G64" s="29">
        <v>21.3</v>
      </c>
      <c r="H64" s="30">
        <f t="shared" si="17"/>
        <v>367</v>
      </c>
      <c r="I64" s="12"/>
      <c r="J64">
        <f t="shared" si="18"/>
        <v>0</v>
      </c>
      <c r="K64" s="12" t="str">
        <f t="shared" ref="K64:K76" si="19">K27</f>
        <v>1 préparateur OBLC 150</v>
      </c>
      <c r="L64" s="35">
        <v>110</v>
      </c>
      <c r="M64" s="12">
        <f t="shared" si="13"/>
        <v>11</v>
      </c>
      <c r="N64" s="12">
        <f t="shared" si="16"/>
        <v>0.36699999999999999</v>
      </c>
    </row>
    <row r="65" spans="1:14" x14ac:dyDescent="0.2">
      <c r="A65">
        <f t="shared" si="14"/>
        <v>3</v>
      </c>
      <c r="B65" s="12" t="s">
        <v>327</v>
      </c>
      <c r="C65" s="12">
        <v>145</v>
      </c>
      <c r="D65" s="12">
        <v>3</v>
      </c>
      <c r="E65" s="12">
        <v>80</v>
      </c>
      <c r="F65" s="13">
        <v>60</v>
      </c>
      <c r="G65" s="29">
        <v>23.4</v>
      </c>
      <c r="H65" s="30">
        <f t="shared" si="17"/>
        <v>403</v>
      </c>
      <c r="I65" s="12"/>
      <c r="J65">
        <f t="shared" si="18"/>
        <v>0</v>
      </c>
      <c r="K65" s="12" t="str">
        <f t="shared" si="19"/>
        <v>1 préparateur OBPB 150</v>
      </c>
      <c r="L65" s="34">
        <v>120</v>
      </c>
      <c r="M65" s="12">
        <f t="shared" si="13"/>
        <v>12</v>
      </c>
      <c r="N65" s="12">
        <f t="shared" si="16"/>
        <v>0.40300000000000002</v>
      </c>
    </row>
    <row r="66" spans="1:14" x14ac:dyDescent="0.2">
      <c r="A66">
        <f t="shared" si="14"/>
        <v>3</v>
      </c>
      <c r="B66" s="12" t="s">
        <v>321</v>
      </c>
      <c r="C66" s="12">
        <v>195</v>
      </c>
      <c r="D66" s="12">
        <v>3</v>
      </c>
      <c r="E66" s="12">
        <v>80</v>
      </c>
      <c r="F66" s="13">
        <v>60</v>
      </c>
      <c r="G66" s="29">
        <v>27.1</v>
      </c>
      <c r="H66" s="30">
        <f t="shared" si="11"/>
        <v>467</v>
      </c>
      <c r="I66" s="12"/>
      <c r="J66">
        <f t="shared" si="18"/>
        <v>0</v>
      </c>
      <c r="K66" s="12" t="str">
        <f t="shared" si="19"/>
        <v>1 préparateur OBLC 200</v>
      </c>
      <c r="L66" s="34">
        <v>120</v>
      </c>
      <c r="M66" s="12">
        <f t="shared" si="13"/>
        <v>12</v>
      </c>
      <c r="N66" s="12">
        <f t="shared" si="16"/>
        <v>0.46700000000000003</v>
      </c>
    </row>
    <row r="67" spans="1:14" x14ac:dyDescent="0.2">
      <c r="A67">
        <f t="shared" si="14"/>
        <v>3</v>
      </c>
      <c r="B67" s="12" t="s">
        <v>328</v>
      </c>
      <c r="C67" s="12">
        <v>195</v>
      </c>
      <c r="D67" s="12">
        <v>3</v>
      </c>
      <c r="E67" s="12">
        <v>80</v>
      </c>
      <c r="F67" s="13">
        <v>60</v>
      </c>
      <c r="G67" s="29">
        <v>32</v>
      </c>
      <c r="H67" s="30">
        <f t="shared" si="11"/>
        <v>552</v>
      </c>
      <c r="I67" s="12"/>
      <c r="J67">
        <f t="shared" si="18"/>
        <v>0</v>
      </c>
      <c r="K67" s="12" t="str">
        <f t="shared" si="19"/>
        <v>1 préparateur OBPB 200</v>
      </c>
      <c r="L67" s="34">
        <v>140</v>
      </c>
      <c r="M67" s="12">
        <f t="shared" si="13"/>
        <v>14</v>
      </c>
      <c r="N67" s="12">
        <f t="shared" si="16"/>
        <v>0.55200000000000005</v>
      </c>
    </row>
    <row r="68" spans="1:14" x14ac:dyDescent="0.2">
      <c r="A68">
        <f t="shared" si="14"/>
        <v>3</v>
      </c>
      <c r="B68" s="12" t="s">
        <v>322</v>
      </c>
      <c r="C68" s="12">
        <v>295</v>
      </c>
      <c r="D68" s="12">
        <v>3</v>
      </c>
      <c r="E68" s="12">
        <v>80</v>
      </c>
      <c r="F68" s="13">
        <v>60</v>
      </c>
      <c r="G68" s="29">
        <v>32</v>
      </c>
      <c r="H68" s="30">
        <f t="shared" si="11"/>
        <v>552</v>
      </c>
      <c r="I68" s="12"/>
      <c r="J68">
        <f t="shared" si="18"/>
        <v>0</v>
      </c>
      <c r="K68" s="12" t="str">
        <f t="shared" si="19"/>
        <v>1 préparateur OBLC 300</v>
      </c>
      <c r="L68" s="34">
        <v>130</v>
      </c>
      <c r="M68" s="12">
        <f t="shared" si="13"/>
        <v>13</v>
      </c>
      <c r="N68" s="12">
        <f t="shared" si="16"/>
        <v>0.55200000000000005</v>
      </c>
    </row>
    <row r="69" spans="1:14" x14ac:dyDescent="0.2">
      <c r="A69">
        <f t="shared" si="14"/>
        <v>3</v>
      </c>
      <c r="B69" s="12" t="s">
        <v>329</v>
      </c>
      <c r="C69" s="12">
        <v>290</v>
      </c>
      <c r="D69" s="12">
        <v>3</v>
      </c>
      <c r="E69" s="12">
        <v>80</v>
      </c>
      <c r="F69" s="13">
        <v>60</v>
      </c>
      <c r="G69" s="29">
        <v>44.3</v>
      </c>
      <c r="H69" s="30">
        <f t="shared" si="11"/>
        <v>764</v>
      </c>
      <c r="I69" s="12"/>
      <c r="J69">
        <f t="shared" si="18"/>
        <v>0</v>
      </c>
      <c r="K69" s="12" t="str">
        <f t="shared" si="19"/>
        <v>1 préparateur OBPB 300</v>
      </c>
      <c r="L69" s="34">
        <v>170</v>
      </c>
      <c r="M69" s="12">
        <f t="shared" si="13"/>
        <v>17</v>
      </c>
      <c r="N69" s="12">
        <f t="shared" si="16"/>
        <v>0.76400000000000001</v>
      </c>
    </row>
    <row r="70" spans="1:14" x14ac:dyDescent="0.2">
      <c r="A70">
        <f t="shared" si="14"/>
        <v>3</v>
      </c>
      <c r="B70" s="12" t="s">
        <v>323</v>
      </c>
      <c r="C70" s="12">
        <v>390</v>
      </c>
      <c r="D70" s="12">
        <v>3</v>
      </c>
      <c r="E70" s="12">
        <v>80</v>
      </c>
      <c r="F70" s="13">
        <v>60</v>
      </c>
      <c r="G70" s="29">
        <v>45.9</v>
      </c>
      <c r="H70" s="30">
        <f t="shared" si="11"/>
        <v>791</v>
      </c>
      <c r="I70" s="12"/>
      <c r="J70">
        <f t="shared" si="18"/>
        <v>0</v>
      </c>
      <c r="K70" s="12" t="str">
        <f t="shared" si="19"/>
        <v>1 préparateur OBLC 400</v>
      </c>
      <c r="L70" s="34">
        <v>170</v>
      </c>
      <c r="M70" s="12">
        <f t="shared" si="13"/>
        <v>17</v>
      </c>
      <c r="N70" s="12">
        <f t="shared" si="16"/>
        <v>0.79100000000000004</v>
      </c>
    </row>
    <row r="71" spans="1:14" x14ac:dyDescent="0.2">
      <c r="A71">
        <f t="shared" si="14"/>
        <v>3</v>
      </c>
      <c r="B71" s="12" t="s">
        <v>330</v>
      </c>
      <c r="C71" s="12">
        <v>385</v>
      </c>
      <c r="D71" s="12">
        <v>3</v>
      </c>
      <c r="E71" s="12">
        <v>80</v>
      </c>
      <c r="F71" s="13">
        <v>60</v>
      </c>
      <c r="G71" s="29">
        <v>55.8</v>
      </c>
      <c r="H71" s="30">
        <f t="shared" si="11"/>
        <v>962</v>
      </c>
      <c r="I71" s="12"/>
      <c r="J71">
        <f t="shared" si="18"/>
        <v>0</v>
      </c>
      <c r="K71" s="12" t="str">
        <f t="shared" si="19"/>
        <v>1 préparateur OBPB 400</v>
      </c>
      <c r="L71" s="34">
        <v>200</v>
      </c>
      <c r="M71" s="12">
        <f t="shared" si="13"/>
        <v>20</v>
      </c>
      <c r="N71" s="12">
        <f t="shared" si="16"/>
        <v>0.96199999999999997</v>
      </c>
    </row>
    <row r="72" spans="1:14" x14ac:dyDescent="0.2">
      <c r="A72">
        <f t="shared" si="14"/>
        <v>3</v>
      </c>
      <c r="B72" s="12" t="s">
        <v>324</v>
      </c>
      <c r="C72" s="12">
        <v>495</v>
      </c>
      <c r="D72" s="12">
        <v>3</v>
      </c>
      <c r="E72" s="12">
        <v>80</v>
      </c>
      <c r="F72" s="13">
        <v>60</v>
      </c>
      <c r="G72" s="29">
        <v>54.1</v>
      </c>
      <c r="H72" s="30">
        <f t="shared" si="11"/>
        <v>933</v>
      </c>
      <c r="I72" s="12"/>
      <c r="J72">
        <f t="shared" si="18"/>
        <v>0</v>
      </c>
      <c r="K72" s="12" t="str">
        <f t="shared" si="19"/>
        <v>1 préparateur OBLC 500</v>
      </c>
      <c r="L72" s="34">
        <v>200</v>
      </c>
      <c r="M72" s="12">
        <f t="shared" si="13"/>
        <v>20</v>
      </c>
      <c r="N72" s="12">
        <f t="shared" si="16"/>
        <v>0.93300000000000005</v>
      </c>
    </row>
    <row r="73" spans="1:14" x14ac:dyDescent="0.2">
      <c r="A73">
        <f t="shared" si="14"/>
        <v>3</v>
      </c>
      <c r="B73" s="12" t="s">
        <v>331</v>
      </c>
      <c r="C73" s="12">
        <v>485</v>
      </c>
      <c r="D73" s="12">
        <v>3</v>
      </c>
      <c r="E73" s="12">
        <v>80</v>
      </c>
      <c r="F73" s="13">
        <v>60</v>
      </c>
      <c r="G73" s="29">
        <v>70.5</v>
      </c>
      <c r="H73" s="30">
        <f t="shared" si="11"/>
        <v>1216</v>
      </c>
      <c r="I73" s="12"/>
      <c r="J73">
        <f t="shared" si="18"/>
        <v>0</v>
      </c>
      <c r="K73" s="12" t="str">
        <f t="shared" si="19"/>
        <v>1 préparateur OBPB 500</v>
      </c>
      <c r="L73" s="34">
        <v>260</v>
      </c>
      <c r="M73" s="12">
        <f t="shared" si="13"/>
        <v>26</v>
      </c>
      <c r="N73" s="12">
        <f t="shared" si="16"/>
        <v>1.216</v>
      </c>
    </row>
    <row r="74" spans="1:14" x14ac:dyDescent="0.2">
      <c r="A74">
        <f t="shared" si="14"/>
        <v>3</v>
      </c>
      <c r="B74" s="12" t="s">
        <v>364</v>
      </c>
      <c r="C74" s="12">
        <v>590</v>
      </c>
      <c r="D74" s="12">
        <v>6</v>
      </c>
      <c r="E74" s="12">
        <v>80</v>
      </c>
      <c r="F74" s="13">
        <v>60</v>
      </c>
      <c r="G74" s="29">
        <f>2*G68</f>
        <v>64</v>
      </c>
      <c r="H74" s="30">
        <f t="shared" si="11"/>
        <v>1103</v>
      </c>
      <c r="I74" s="12"/>
      <c r="J74">
        <f t="shared" si="18"/>
        <v>0</v>
      </c>
      <c r="K74" s="12" t="str">
        <f t="shared" si="19"/>
        <v>2 préparateurs OBLC 300 raccordés en parallèle</v>
      </c>
      <c r="L74" s="34">
        <f>L68</f>
        <v>130</v>
      </c>
      <c r="M74" s="12">
        <f t="shared" si="13"/>
        <v>13</v>
      </c>
      <c r="N74" s="12">
        <f t="shared" si="16"/>
        <v>1.103</v>
      </c>
    </row>
    <row r="75" spans="1:14" x14ac:dyDescent="0.2">
      <c r="A75">
        <f t="shared" si="14"/>
        <v>3</v>
      </c>
      <c r="B75" s="12" t="s">
        <v>361</v>
      </c>
      <c r="C75" s="12">
        <v>580</v>
      </c>
      <c r="D75" s="12">
        <v>6</v>
      </c>
      <c r="E75" s="12">
        <v>80</v>
      </c>
      <c r="F75" s="13">
        <v>60</v>
      </c>
      <c r="G75" s="29">
        <f>2*G69</f>
        <v>88.6</v>
      </c>
      <c r="H75" s="30">
        <f t="shared" si="11"/>
        <v>1528</v>
      </c>
      <c r="I75" s="12"/>
      <c r="J75">
        <f t="shared" si="18"/>
        <v>0</v>
      </c>
      <c r="K75" s="12" t="str">
        <f t="shared" si="19"/>
        <v>2 préparateurs OBPB 300 raccordés en parallèle</v>
      </c>
      <c r="L75" s="34">
        <f>L69</f>
        <v>170</v>
      </c>
      <c r="M75" s="12">
        <f t="shared" si="13"/>
        <v>17</v>
      </c>
      <c r="N75" s="12">
        <f t="shared" si="16"/>
        <v>1.528</v>
      </c>
    </row>
    <row r="76" spans="1:14" x14ac:dyDescent="0.2">
      <c r="A76">
        <f t="shared" si="14"/>
        <v>3</v>
      </c>
      <c r="B76" s="12" t="s">
        <v>335</v>
      </c>
      <c r="C76" s="12">
        <v>650</v>
      </c>
      <c r="D76" s="12">
        <v>5.5</v>
      </c>
      <c r="E76" s="12">
        <v>80</v>
      </c>
      <c r="F76" s="13">
        <v>60</v>
      </c>
      <c r="G76" s="29">
        <v>95</v>
      </c>
      <c r="H76" s="30">
        <f t="shared" si="11"/>
        <v>1638</v>
      </c>
      <c r="I76" s="12"/>
      <c r="J76">
        <f t="shared" si="18"/>
        <v>0</v>
      </c>
      <c r="K76" s="12" t="str">
        <f t="shared" si="19"/>
        <v>1 préparateur OB 650</v>
      </c>
      <c r="L76" s="34">
        <v>240</v>
      </c>
      <c r="M76" s="12">
        <f t="shared" si="13"/>
        <v>24</v>
      </c>
      <c r="N76" s="12">
        <f t="shared" si="16"/>
        <v>1.6379999999999999</v>
      </c>
    </row>
    <row r="77" spans="1:14" x14ac:dyDescent="0.2">
      <c r="A77">
        <f t="shared" si="14"/>
        <v>3</v>
      </c>
      <c r="B77" s="12" t="s">
        <v>365</v>
      </c>
      <c r="C77" s="12">
        <v>780</v>
      </c>
      <c r="D77" s="12">
        <v>6</v>
      </c>
      <c r="E77" s="12">
        <v>80</v>
      </c>
      <c r="F77" s="13">
        <v>60</v>
      </c>
      <c r="G77" s="29">
        <f>2*G70</f>
        <v>91.8</v>
      </c>
      <c r="H77" s="30">
        <f t="shared" si="11"/>
        <v>1583</v>
      </c>
      <c r="I77" s="12"/>
      <c r="J77">
        <f t="shared" si="18"/>
        <v>0</v>
      </c>
      <c r="K77" s="12" t="str">
        <f>K41</f>
        <v>2 préparateurs OBLC 400 raccordés en parallèle</v>
      </c>
      <c r="L77" s="34">
        <f>L70</f>
        <v>170</v>
      </c>
      <c r="M77" s="12">
        <f t="shared" si="13"/>
        <v>17</v>
      </c>
      <c r="N77" s="12">
        <f t="shared" si="16"/>
        <v>1.583</v>
      </c>
    </row>
    <row r="78" spans="1:14" x14ac:dyDescent="0.2">
      <c r="A78">
        <f t="shared" si="14"/>
        <v>3</v>
      </c>
      <c r="B78" s="12" t="s">
        <v>362</v>
      </c>
      <c r="C78" s="12">
        <v>770</v>
      </c>
      <c r="D78" s="12">
        <v>6</v>
      </c>
      <c r="E78" s="12">
        <v>80</v>
      </c>
      <c r="F78" s="13">
        <v>60</v>
      </c>
      <c r="G78" s="29">
        <f>2*G71</f>
        <v>111.6</v>
      </c>
      <c r="H78" s="30">
        <f t="shared" si="11"/>
        <v>1924</v>
      </c>
      <c r="I78" s="12"/>
      <c r="J78">
        <f t="shared" si="18"/>
        <v>0</v>
      </c>
      <c r="K78" s="12" t="str">
        <f>K42</f>
        <v>2 préparateurs OBPB 400 raccordés en parallèle</v>
      </c>
      <c r="L78" s="34">
        <f>L71</f>
        <v>200</v>
      </c>
      <c r="M78" s="12">
        <f t="shared" si="13"/>
        <v>20</v>
      </c>
      <c r="N78" s="12">
        <f t="shared" si="16"/>
        <v>1.9239999999999999</v>
      </c>
    </row>
    <row r="79" spans="1:14" x14ac:dyDescent="0.2">
      <c r="A79">
        <f t="shared" si="14"/>
        <v>3</v>
      </c>
      <c r="B79" s="12" t="s">
        <v>336</v>
      </c>
      <c r="C79" s="12">
        <v>780</v>
      </c>
      <c r="D79" s="12">
        <v>5.5</v>
      </c>
      <c r="E79" s="12">
        <v>80</v>
      </c>
      <c r="F79" s="13">
        <v>60</v>
      </c>
      <c r="G79" s="32">
        <v>95</v>
      </c>
      <c r="H79" s="30">
        <f t="shared" si="11"/>
        <v>1638</v>
      </c>
      <c r="I79" s="12"/>
      <c r="J79">
        <f t="shared" si="18"/>
        <v>0</v>
      </c>
      <c r="K79" s="12" t="str">
        <f>K40</f>
        <v>1 préparateur OB 800</v>
      </c>
      <c r="L79" s="34">
        <v>240</v>
      </c>
      <c r="M79" s="12">
        <f t="shared" si="13"/>
        <v>24</v>
      </c>
      <c r="N79" s="12">
        <f t="shared" si="16"/>
        <v>1.6379999999999999</v>
      </c>
    </row>
    <row r="80" spans="1:14" x14ac:dyDescent="0.2">
      <c r="A80">
        <f t="shared" si="14"/>
        <v>3</v>
      </c>
      <c r="B80" s="12" t="s">
        <v>366</v>
      </c>
      <c r="C80" s="12">
        <v>990</v>
      </c>
      <c r="D80" s="12">
        <v>9</v>
      </c>
      <c r="E80" s="12">
        <v>80</v>
      </c>
      <c r="F80" s="13">
        <v>60</v>
      </c>
      <c r="G80" s="29">
        <f>3*G68</f>
        <v>96</v>
      </c>
      <c r="H80" s="30">
        <f t="shared" si="11"/>
        <v>1655</v>
      </c>
      <c r="I80" s="12"/>
      <c r="J80">
        <f t="shared" si="18"/>
        <v>0</v>
      </c>
      <c r="K80" s="12" t="str">
        <f t="shared" ref="K80:K97" si="20">K43</f>
        <v>3 préparateurs OBLC 300 raccordés en parallèle</v>
      </c>
      <c r="L80" s="34">
        <f>L68</f>
        <v>130</v>
      </c>
      <c r="M80" s="12">
        <f t="shared" si="13"/>
        <v>13</v>
      </c>
      <c r="N80" s="12">
        <f t="shared" si="16"/>
        <v>1.655</v>
      </c>
    </row>
    <row r="81" spans="1:14" x14ac:dyDescent="0.2">
      <c r="A81">
        <f t="shared" si="14"/>
        <v>3</v>
      </c>
      <c r="B81" s="12" t="s">
        <v>332</v>
      </c>
      <c r="C81" s="12">
        <v>885</v>
      </c>
      <c r="D81" s="12">
        <v>9</v>
      </c>
      <c r="E81" s="12">
        <v>80</v>
      </c>
      <c r="F81" s="13">
        <v>60</v>
      </c>
      <c r="G81" s="29">
        <f>3*G69</f>
        <v>132.89999999999998</v>
      </c>
      <c r="H81" s="30">
        <f t="shared" si="11"/>
        <v>2291</v>
      </c>
      <c r="I81" s="12"/>
      <c r="J81">
        <f t="shared" si="18"/>
        <v>0</v>
      </c>
      <c r="K81" s="12" t="str">
        <f t="shared" si="20"/>
        <v>3 préparateurs OBPB 300 raccordés en parallèle</v>
      </c>
      <c r="L81" s="34">
        <f>L69</f>
        <v>170</v>
      </c>
      <c r="M81" s="12">
        <f t="shared" si="13"/>
        <v>17</v>
      </c>
      <c r="N81" s="12">
        <f t="shared" si="16"/>
        <v>2.2909999999999999</v>
      </c>
    </row>
    <row r="82" spans="1:14" x14ac:dyDescent="0.2">
      <c r="A82">
        <f t="shared" si="14"/>
        <v>3</v>
      </c>
      <c r="B82" s="12" t="s">
        <v>337</v>
      </c>
      <c r="C82" s="12">
        <v>980</v>
      </c>
      <c r="D82" s="12">
        <v>6</v>
      </c>
      <c r="E82" s="12">
        <v>80</v>
      </c>
      <c r="F82" s="13">
        <v>60</v>
      </c>
      <c r="G82" s="29">
        <v>104.5</v>
      </c>
      <c r="H82" s="30">
        <f t="shared" si="11"/>
        <v>1802</v>
      </c>
      <c r="I82" s="12"/>
      <c r="J82">
        <f t="shared" si="18"/>
        <v>0</v>
      </c>
      <c r="K82" s="12" t="str">
        <f t="shared" si="20"/>
        <v>1 préparateur OB 1000</v>
      </c>
      <c r="L82" s="34">
        <v>360</v>
      </c>
      <c r="M82" s="12">
        <f t="shared" si="13"/>
        <v>36</v>
      </c>
      <c r="N82" s="12">
        <f t="shared" si="16"/>
        <v>1.802</v>
      </c>
    </row>
    <row r="83" spans="1:14" x14ac:dyDescent="0.2">
      <c r="A83">
        <f t="shared" si="14"/>
        <v>3</v>
      </c>
      <c r="B83" s="12" t="s">
        <v>366</v>
      </c>
      <c r="C83" s="12">
        <v>990</v>
      </c>
      <c r="D83" s="12">
        <v>6</v>
      </c>
      <c r="E83" s="12">
        <v>80</v>
      </c>
      <c r="F83" s="13">
        <v>60</v>
      </c>
      <c r="G83" s="29">
        <f>2*G72</f>
        <v>108.2</v>
      </c>
      <c r="H83" s="30">
        <f t="shared" si="11"/>
        <v>1866</v>
      </c>
      <c r="I83" s="12"/>
      <c r="J83">
        <f t="shared" si="18"/>
        <v>0</v>
      </c>
      <c r="K83" s="12" t="str">
        <f t="shared" si="20"/>
        <v>2 préparateurs OBLC 500 raccordés en parallèle</v>
      </c>
      <c r="L83" s="34">
        <f>L72</f>
        <v>200</v>
      </c>
      <c r="M83" s="12">
        <f t="shared" si="13"/>
        <v>20</v>
      </c>
      <c r="N83" s="12">
        <f t="shared" si="16"/>
        <v>1.8660000000000001</v>
      </c>
    </row>
    <row r="84" spans="1:14" x14ac:dyDescent="0.2">
      <c r="A84">
        <f t="shared" si="14"/>
        <v>3</v>
      </c>
      <c r="B84" s="12" t="s">
        <v>363</v>
      </c>
      <c r="C84" s="12">
        <v>970</v>
      </c>
      <c r="D84" s="12">
        <v>6</v>
      </c>
      <c r="E84" s="12">
        <v>80</v>
      </c>
      <c r="F84" s="13">
        <v>60</v>
      </c>
      <c r="G84" s="29">
        <f>2*G73</f>
        <v>141</v>
      </c>
      <c r="H84" s="30">
        <f t="shared" si="11"/>
        <v>2431</v>
      </c>
      <c r="I84" s="12"/>
      <c r="J84">
        <f t="shared" si="18"/>
        <v>0</v>
      </c>
      <c r="K84" s="12" t="str">
        <f t="shared" si="20"/>
        <v>2 préparateurs OBPB 500 raccordés en parallèle</v>
      </c>
      <c r="L84" s="34">
        <f>L73</f>
        <v>260</v>
      </c>
      <c r="M84" s="12">
        <f t="shared" si="13"/>
        <v>26</v>
      </c>
      <c r="N84" s="12">
        <f t="shared" si="16"/>
        <v>2.431</v>
      </c>
    </row>
    <row r="85" spans="1:14" x14ac:dyDescent="0.2">
      <c r="A85">
        <f t="shared" si="14"/>
        <v>3</v>
      </c>
      <c r="B85" s="12" t="s">
        <v>325</v>
      </c>
      <c r="C85" s="12">
        <v>1170</v>
      </c>
      <c r="D85" s="12">
        <v>9</v>
      </c>
      <c r="E85" s="12">
        <v>80</v>
      </c>
      <c r="F85" s="13">
        <v>60</v>
      </c>
      <c r="G85" s="29">
        <f>3*G70</f>
        <v>137.69999999999999</v>
      </c>
      <c r="H85" s="30">
        <f t="shared" si="11"/>
        <v>2374</v>
      </c>
      <c r="I85" s="12"/>
      <c r="J85">
        <f t="shared" si="18"/>
        <v>0</v>
      </c>
      <c r="K85" s="12" t="str">
        <f t="shared" si="20"/>
        <v>3 préparateurs OBLC 400 raccordés en parallèle</v>
      </c>
      <c r="L85" s="34">
        <f>L70</f>
        <v>170</v>
      </c>
      <c r="M85" s="12">
        <f t="shared" si="13"/>
        <v>17</v>
      </c>
      <c r="N85" s="12">
        <f t="shared" si="16"/>
        <v>2.3740000000000001</v>
      </c>
    </row>
    <row r="86" spans="1:14" x14ac:dyDescent="0.2">
      <c r="A86">
        <f t="shared" si="14"/>
        <v>3</v>
      </c>
      <c r="B86" s="12" t="s">
        <v>333</v>
      </c>
      <c r="C86" s="12">
        <v>1155</v>
      </c>
      <c r="D86" s="12">
        <v>9</v>
      </c>
      <c r="E86" s="12">
        <v>80</v>
      </c>
      <c r="F86" s="13">
        <v>60</v>
      </c>
      <c r="G86" s="29">
        <f>3*G71</f>
        <v>167.39999999999998</v>
      </c>
      <c r="H86" s="30">
        <f t="shared" si="11"/>
        <v>2886</v>
      </c>
      <c r="I86" s="12"/>
      <c r="J86">
        <f t="shared" si="18"/>
        <v>0</v>
      </c>
      <c r="K86" s="12" t="str">
        <f t="shared" si="20"/>
        <v>3 préparateurs OBPB 400 raccordés en parallèle</v>
      </c>
      <c r="L86" s="34">
        <f>L71</f>
        <v>200</v>
      </c>
      <c r="M86" s="12">
        <f t="shared" si="13"/>
        <v>20</v>
      </c>
      <c r="N86" s="12">
        <f t="shared" si="16"/>
        <v>2.8860000000000001</v>
      </c>
    </row>
    <row r="87" spans="1:14" x14ac:dyDescent="0.2">
      <c r="A87">
        <f t="shared" si="14"/>
        <v>3</v>
      </c>
      <c r="B87" s="12" t="s">
        <v>338</v>
      </c>
      <c r="C87" s="12">
        <v>1300</v>
      </c>
      <c r="D87" s="12">
        <f>2*D76</f>
        <v>11</v>
      </c>
      <c r="E87" s="12">
        <v>80</v>
      </c>
      <c r="F87" s="13">
        <v>60</v>
      </c>
      <c r="G87" s="32">
        <f>2*G76</f>
        <v>190</v>
      </c>
      <c r="H87" s="30">
        <f t="shared" si="11"/>
        <v>3276</v>
      </c>
      <c r="I87" s="12"/>
      <c r="J87">
        <f t="shared" si="18"/>
        <v>0</v>
      </c>
      <c r="K87" s="12" t="str">
        <f t="shared" si="20"/>
        <v>2 préparateurs OB 650</v>
      </c>
      <c r="L87" s="34">
        <f>+L76</f>
        <v>240</v>
      </c>
      <c r="M87" s="12">
        <f t="shared" si="13"/>
        <v>24</v>
      </c>
      <c r="N87" s="12">
        <f>H87/1000</f>
        <v>3.2759999999999998</v>
      </c>
    </row>
    <row r="88" spans="1:14" x14ac:dyDescent="0.2">
      <c r="A88">
        <f t="shared" si="14"/>
        <v>3</v>
      </c>
      <c r="B88" s="12" t="s">
        <v>339</v>
      </c>
      <c r="C88" s="12">
        <v>1500</v>
      </c>
      <c r="D88" s="12">
        <v>7.5</v>
      </c>
      <c r="E88" s="12">
        <v>80</v>
      </c>
      <c r="F88" s="13">
        <v>60</v>
      </c>
      <c r="G88" s="32">
        <v>130.6</v>
      </c>
      <c r="H88" s="30">
        <f t="shared" si="11"/>
        <v>2252</v>
      </c>
      <c r="I88" s="12"/>
      <c r="J88">
        <f t="shared" si="18"/>
        <v>0</v>
      </c>
      <c r="K88" s="12" t="str">
        <f t="shared" si="20"/>
        <v>1 préparateur OB 1500</v>
      </c>
      <c r="L88" s="34">
        <v>610</v>
      </c>
      <c r="M88" s="12">
        <f t="shared" si="13"/>
        <v>61</v>
      </c>
      <c r="N88" s="12">
        <f t="shared" ref="N88:N137" si="21">H88/1000</f>
        <v>2.2519999999999998</v>
      </c>
    </row>
    <row r="89" spans="1:14" x14ac:dyDescent="0.2">
      <c r="A89">
        <f t="shared" si="14"/>
        <v>3</v>
      </c>
      <c r="B89" s="12" t="s">
        <v>326</v>
      </c>
      <c r="C89" s="12">
        <v>1485</v>
      </c>
      <c r="D89" s="12">
        <v>9</v>
      </c>
      <c r="E89" s="12">
        <v>80</v>
      </c>
      <c r="F89" s="13">
        <v>60</v>
      </c>
      <c r="G89" s="32">
        <f>3*G72</f>
        <v>162.30000000000001</v>
      </c>
      <c r="H89" s="30">
        <f t="shared" si="11"/>
        <v>2798</v>
      </c>
      <c r="I89" s="12"/>
      <c r="J89">
        <f t="shared" si="18"/>
        <v>0</v>
      </c>
      <c r="K89" s="12" t="str">
        <f t="shared" si="20"/>
        <v>3 préparateurs OBLC 500 raccordés en parallèle</v>
      </c>
      <c r="L89" s="34">
        <f>L72</f>
        <v>200</v>
      </c>
      <c r="M89" s="12">
        <f t="shared" si="13"/>
        <v>20</v>
      </c>
      <c r="N89" s="12">
        <f t="shared" si="21"/>
        <v>2.798</v>
      </c>
    </row>
    <row r="90" spans="1:14" x14ac:dyDescent="0.2">
      <c r="A90">
        <f t="shared" si="14"/>
        <v>3</v>
      </c>
      <c r="B90" s="12" t="s">
        <v>334</v>
      </c>
      <c r="C90" s="12">
        <v>1455</v>
      </c>
      <c r="D90" s="12">
        <v>9</v>
      </c>
      <c r="E90" s="12">
        <v>80</v>
      </c>
      <c r="F90" s="13">
        <v>60</v>
      </c>
      <c r="G90" s="32">
        <f>3*G73</f>
        <v>211.5</v>
      </c>
      <c r="H90" s="30">
        <f t="shared" si="11"/>
        <v>3647</v>
      </c>
      <c r="I90" s="12"/>
      <c r="J90">
        <f t="shared" si="18"/>
        <v>0</v>
      </c>
      <c r="K90" s="12" t="str">
        <f t="shared" si="20"/>
        <v>3 préparateurs OBPB 500 raccordés en parallèle</v>
      </c>
      <c r="L90" s="34">
        <f>L73</f>
        <v>260</v>
      </c>
      <c r="M90" s="12">
        <f t="shared" si="13"/>
        <v>26</v>
      </c>
      <c r="N90" s="12">
        <f t="shared" si="21"/>
        <v>3.6469999999999998</v>
      </c>
    </row>
    <row r="91" spans="1:14" x14ac:dyDescent="0.2">
      <c r="A91">
        <f t="shared" si="14"/>
        <v>3</v>
      </c>
      <c r="B91" s="12" t="s">
        <v>340</v>
      </c>
      <c r="C91" s="12">
        <v>1560</v>
      </c>
      <c r="D91" s="12">
        <f>2*D79</f>
        <v>11</v>
      </c>
      <c r="E91" s="12">
        <v>80</v>
      </c>
      <c r="F91" s="13">
        <v>60</v>
      </c>
      <c r="G91" s="32">
        <f>2*G79</f>
        <v>190</v>
      </c>
      <c r="H91" s="30">
        <f t="shared" ref="H91:H100" si="22">ROUND(G91*1000/1.16/50,0)</f>
        <v>3276</v>
      </c>
      <c r="I91" s="12"/>
      <c r="J91">
        <f t="shared" ref="J91:J122" si="23">IF(Tecs=F91,1,0)*IF(E91=$B$1,1,0)*IF(C91&gt;=$B$2,1,0)*IF(G91&gt;=$B$3,1,0)</f>
        <v>0</v>
      </c>
      <c r="K91" s="12" t="str">
        <f t="shared" si="20"/>
        <v>2 préparateurs OB 800 raccordés en parallèle</v>
      </c>
      <c r="L91" s="34">
        <f>2*L79</f>
        <v>480</v>
      </c>
      <c r="M91" s="12">
        <f t="shared" ref="M91:M137" si="24">L91/10</f>
        <v>48</v>
      </c>
      <c r="N91" s="12">
        <f t="shared" si="21"/>
        <v>3.2759999999999998</v>
      </c>
    </row>
    <row r="92" spans="1:14" x14ac:dyDescent="0.2">
      <c r="A92">
        <f t="shared" ref="A92:A138" si="25">J92+A91</f>
        <v>3</v>
      </c>
      <c r="B92" s="12" t="s">
        <v>341</v>
      </c>
      <c r="C92" s="12">
        <v>1950</v>
      </c>
      <c r="D92" s="12">
        <f>3*D76</f>
        <v>16.5</v>
      </c>
      <c r="E92" s="12">
        <v>80</v>
      </c>
      <c r="F92" s="13">
        <v>60</v>
      </c>
      <c r="G92" s="32">
        <f>3*G76</f>
        <v>285</v>
      </c>
      <c r="H92" s="30">
        <f t="shared" si="22"/>
        <v>4914</v>
      </c>
      <c r="I92" s="12"/>
      <c r="J92">
        <f t="shared" si="23"/>
        <v>0</v>
      </c>
      <c r="K92" s="12" t="str">
        <f t="shared" si="20"/>
        <v>3 préparateurs OB 650</v>
      </c>
      <c r="L92" s="34">
        <v>240</v>
      </c>
      <c r="M92" s="12">
        <f t="shared" si="24"/>
        <v>24</v>
      </c>
      <c r="N92" s="12">
        <f t="shared" si="21"/>
        <v>4.9139999999999997</v>
      </c>
    </row>
    <row r="93" spans="1:14" x14ac:dyDescent="0.2">
      <c r="A93">
        <f>J93+A94</f>
        <v>3</v>
      </c>
      <c r="B93" s="12" t="s">
        <v>343</v>
      </c>
      <c r="C93" s="12">
        <v>1960</v>
      </c>
      <c r="D93" s="12">
        <f>2*D82</f>
        <v>12</v>
      </c>
      <c r="E93" s="12">
        <v>80</v>
      </c>
      <c r="F93" s="13">
        <v>60</v>
      </c>
      <c r="G93" s="32">
        <f>2*G82</f>
        <v>209</v>
      </c>
      <c r="H93" s="30">
        <f>ROUND(G93*1000/1.16/50,0)</f>
        <v>3603</v>
      </c>
      <c r="I93" s="12"/>
      <c r="J93">
        <f>IF(Tecs=F93,1,0)*IF(E93=$B$1,1,0)*IF(C93&gt;=$B$2,1,0)*IF(G93&gt;=$B$3,1,0)</f>
        <v>0</v>
      </c>
      <c r="K93" s="12" t="str">
        <f t="shared" si="20"/>
        <v>2 préparateurs OB 1000 raccordés en parallèle</v>
      </c>
      <c r="L93" s="34">
        <f>+L82</f>
        <v>360</v>
      </c>
      <c r="M93" s="12">
        <f>L93/10</f>
        <v>36</v>
      </c>
      <c r="N93" s="12">
        <f>H93/1000</f>
        <v>3.6030000000000002</v>
      </c>
    </row>
    <row r="94" spans="1:14" x14ac:dyDescent="0.2">
      <c r="A94">
        <f>J94+A92</f>
        <v>3</v>
      </c>
      <c r="B94" s="12" t="s">
        <v>342</v>
      </c>
      <c r="C94" s="12">
        <v>2000</v>
      </c>
      <c r="D94" s="12">
        <v>7.5</v>
      </c>
      <c r="E94" s="12">
        <v>80</v>
      </c>
      <c r="F94" s="13">
        <v>60</v>
      </c>
      <c r="G94" s="32">
        <v>130.6</v>
      </c>
      <c r="H94" s="30">
        <f t="shared" si="22"/>
        <v>2252</v>
      </c>
      <c r="I94" s="12"/>
      <c r="J94">
        <f t="shared" si="23"/>
        <v>0</v>
      </c>
      <c r="K94" s="12" t="str">
        <f t="shared" si="20"/>
        <v>1 préparateur OB 2000</v>
      </c>
      <c r="L94" s="34">
        <v>610</v>
      </c>
      <c r="M94" s="12">
        <f t="shared" si="24"/>
        <v>61</v>
      </c>
      <c r="N94" s="12">
        <f t="shared" si="21"/>
        <v>2.2519999999999998</v>
      </c>
    </row>
    <row r="95" spans="1:14" x14ac:dyDescent="0.2">
      <c r="A95">
        <f>J95+A93</f>
        <v>3</v>
      </c>
      <c r="B95" s="12" t="s">
        <v>344</v>
      </c>
      <c r="C95" s="12">
        <v>2500</v>
      </c>
      <c r="D95" s="12">
        <v>7.5</v>
      </c>
      <c r="E95" s="12">
        <v>80</v>
      </c>
      <c r="F95" s="13">
        <v>60</v>
      </c>
      <c r="G95" s="32">
        <v>130.6</v>
      </c>
      <c r="H95" s="30">
        <f t="shared" si="22"/>
        <v>2252</v>
      </c>
      <c r="I95" s="12"/>
      <c r="J95">
        <f t="shared" si="23"/>
        <v>0</v>
      </c>
      <c r="K95" s="12" t="str">
        <f t="shared" si="20"/>
        <v>1 préparateur OB 2500</v>
      </c>
      <c r="L95" s="34">
        <v>610</v>
      </c>
      <c r="M95" s="12">
        <f t="shared" si="24"/>
        <v>61</v>
      </c>
      <c r="N95" s="12">
        <f t="shared" si="21"/>
        <v>2.2519999999999998</v>
      </c>
    </row>
    <row r="96" spans="1:14" x14ac:dyDescent="0.2">
      <c r="A96">
        <f t="shared" si="25"/>
        <v>3</v>
      </c>
      <c r="B96" s="12" t="s">
        <v>345</v>
      </c>
      <c r="C96" s="12">
        <v>3000</v>
      </c>
      <c r="D96" s="12">
        <f>2*D88</f>
        <v>15</v>
      </c>
      <c r="E96" s="12">
        <v>80</v>
      </c>
      <c r="F96" s="13">
        <v>60</v>
      </c>
      <c r="G96" s="32">
        <f>2*G88</f>
        <v>261.2</v>
      </c>
      <c r="H96" s="30">
        <f t="shared" si="22"/>
        <v>4503</v>
      </c>
      <c r="I96" s="12"/>
      <c r="J96">
        <f t="shared" si="23"/>
        <v>0</v>
      </c>
      <c r="K96" s="12" t="str">
        <f t="shared" si="20"/>
        <v>2 préparateurs OB 1500 raccordés en parallèle</v>
      </c>
      <c r="L96" s="34">
        <v>610</v>
      </c>
      <c r="M96" s="12">
        <f t="shared" si="24"/>
        <v>61</v>
      </c>
      <c r="N96" s="12">
        <f t="shared" si="21"/>
        <v>4.5030000000000001</v>
      </c>
    </row>
    <row r="97" spans="1:14" x14ac:dyDescent="0.2">
      <c r="A97">
        <f t="shared" si="25"/>
        <v>3</v>
      </c>
      <c r="B97" s="12" t="s">
        <v>346</v>
      </c>
      <c r="C97" s="12">
        <v>3000</v>
      </c>
      <c r="D97" s="12">
        <v>7.5</v>
      </c>
      <c r="E97" s="12">
        <v>80</v>
      </c>
      <c r="F97" s="13">
        <v>60</v>
      </c>
      <c r="G97" s="32">
        <v>130.6</v>
      </c>
      <c r="H97" s="30">
        <f t="shared" si="22"/>
        <v>2252</v>
      </c>
      <c r="I97" s="12"/>
      <c r="J97">
        <f t="shared" si="23"/>
        <v>0</v>
      </c>
      <c r="K97" s="12" t="str">
        <f t="shared" si="20"/>
        <v>1 préparateur OB 3000</v>
      </c>
      <c r="L97" s="34">
        <v>610</v>
      </c>
      <c r="M97" s="12">
        <f t="shared" si="24"/>
        <v>61</v>
      </c>
      <c r="N97" s="12">
        <f t="shared" si="21"/>
        <v>2.2519999999999998</v>
      </c>
    </row>
    <row r="98" spans="1:14" x14ac:dyDescent="0.2">
      <c r="A98">
        <f t="shared" si="25"/>
        <v>3</v>
      </c>
      <c r="B98" s="12" t="s">
        <v>347</v>
      </c>
      <c r="C98" s="12">
        <v>4000</v>
      </c>
      <c r="D98" s="12">
        <f>2*D94</f>
        <v>15</v>
      </c>
      <c r="E98" s="12">
        <v>80</v>
      </c>
      <c r="F98" s="13">
        <v>60</v>
      </c>
      <c r="G98" s="32">
        <f>2*G94</f>
        <v>261.2</v>
      </c>
      <c r="H98" s="30">
        <f t="shared" si="22"/>
        <v>4503</v>
      </c>
      <c r="I98" s="12"/>
      <c r="J98">
        <f t="shared" si="23"/>
        <v>0</v>
      </c>
      <c r="K98" s="12" t="str">
        <f>+K61</f>
        <v>2 préparateurs OB 2000 raccordés en parallèle</v>
      </c>
      <c r="L98" s="34">
        <f>+L94</f>
        <v>610</v>
      </c>
      <c r="M98" s="12">
        <f>L98/10</f>
        <v>61</v>
      </c>
      <c r="N98" s="12">
        <f>H98/1000</f>
        <v>4.5030000000000001</v>
      </c>
    </row>
    <row r="99" spans="1:14" x14ac:dyDescent="0.2">
      <c r="A99">
        <f t="shared" si="25"/>
        <v>3</v>
      </c>
      <c r="B99" s="12" t="s">
        <v>348</v>
      </c>
      <c r="C99" s="12">
        <v>5000</v>
      </c>
      <c r="D99" s="12">
        <f>2*D95</f>
        <v>15</v>
      </c>
      <c r="E99" s="12">
        <v>80</v>
      </c>
      <c r="F99" s="13">
        <v>60</v>
      </c>
      <c r="G99" s="32">
        <f>2*G95</f>
        <v>261.2</v>
      </c>
      <c r="H99" s="30">
        <f t="shared" si="22"/>
        <v>4503</v>
      </c>
      <c r="I99" s="12"/>
      <c r="J99">
        <f t="shared" si="23"/>
        <v>0</v>
      </c>
      <c r="K99" s="12" t="str">
        <f t="shared" ref="K99:K113" si="26">K62</f>
        <v>2 préparateurs OB 2500 raccordés en parallèle</v>
      </c>
      <c r="L99" s="34">
        <v>610</v>
      </c>
      <c r="M99" s="12">
        <f t="shared" si="24"/>
        <v>61</v>
      </c>
      <c r="N99" s="12">
        <f t="shared" si="21"/>
        <v>4.5030000000000001</v>
      </c>
    </row>
    <row r="100" spans="1:14" ht="13.5" thickBot="1" x14ac:dyDescent="0.25">
      <c r="A100">
        <f t="shared" si="25"/>
        <v>3</v>
      </c>
      <c r="B100" s="12" t="s">
        <v>349</v>
      </c>
      <c r="C100" s="12">
        <v>6000</v>
      </c>
      <c r="D100" s="12">
        <f>2*D97</f>
        <v>15</v>
      </c>
      <c r="E100" s="12">
        <v>80</v>
      </c>
      <c r="F100" s="13">
        <v>60</v>
      </c>
      <c r="G100" s="32">
        <f>2*G97</f>
        <v>261.2</v>
      </c>
      <c r="H100" s="30">
        <f t="shared" si="22"/>
        <v>4503</v>
      </c>
      <c r="I100" s="12"/>
      <c r="J100">
        <f t="shared" si="23"/>
        <v>0</v>
      </c>
      <c r="K100" s="12" t="str">
        <f t="shared" si="26"/>
        <v>2 préparateurs OB 3000 raccordés en parallèle</v>
      </c>
      <c r="L100" s="34">
        <v>610</v>
      </c>
      <c r="M100" s="12">
        <f t="shared" si="24"/>
        <v>61</v>
      </c>
      <c r="N100" s="12">
        <f t="shared" si="21"/>
        <v>4.5030000000000001</v>
      </c>
    </row>
    <row r="101" spans="1:14" x14ac:dyDescent="0.2">
      <c r="A101">
        <f t="shared" si="25"/>
        <v>3</v>
      </c>
      <c r="B101" s="9" t="s">
        <v>320</v>
      </c>
      <c r="C101" s="9">
        <v>145</v>
      </c>
      <c r="D101" s="9">
        <v>3</v>
      </c>
      <c r="E101" s="9">
        <v>90</v>
      </c>
      <c r="F101" s="4">
        <v>60</v>
      </c>
      <c r="G101" s="39">
        <v>28.1</v>
      </c>
      <c r="H101" s="28">
        <f>ROUND(G101*1000/1.16/50,0)</f>
        <v>484</v>
      </c>
      <c r="I101" s="9"/>
      <c r="J101">
        <f t="shared" si="23"/>
        <v>0</v>
      </c>
      <c r="K101" s="12" t="str">
        <f t="shared" si="26"/>
        <v>1 préparateur OBLC 150</v>
      </c>
      <c r="L101" s="35">
        <v>110</v>
      </c>
      <c r="M101" s="9">
        <f t="shared" si="24"/>
        <v>11</v>
      </c>
      <c r="N101" s="9">
        <f t="shared" si="21"/>
        <v>0.48399999999999999</v>
      </c>
    </row>
    <row r="102" spans="1:14" x14ac:dyDescent="0.2">
      <c r="A102">
        <f t="shared" si="25"/>
        <v>3</v>
      </c>
      <c r="B102" s="9" t="s">
        <v>327</v>
      </c>
      <c r="C102" s="9">
        <v>145</v>
      </c>
      <c r="D102" s="9">
        <v>3</v>
      </c>
      <c r="E102" s="9">
        <v>90</v>
      </c>
      <c r="F102" s="4">
        <v>60</v>
      </c>
      <c r="G102" s="32">
        <v>31.3</v>
      </c>
      <c r="H102" s="30">
        <f>ROUND(G102*1000/1.16/50,0)</f>
        <v>540</v>
      </c>
      <c r="I102" s="9"/>
      <c r="J102">
        <f t="shared" si="23"/>
        <v>0</v>
      </c>
      <c r="K102" s="12" t="str">
        <f t="shared" si="26"/>
        <v>1 préparateur OBPB 150</v>
      </c>
      <c r="L102" s="34">
        <v>120</v>
      </c>
      <c r="M102" s="9">
        <f t="shared" si="24"/>
        <v>12</v>
      </c>
      <c r="N102" s="9">
        <f t="shared" si="21"/>
        <v>0.54</v>
      </c>
    </row>
    <row r="103" spans="1:14" x14ac:dyDescent="0.2">
      <c r="A103">
        <f t="shared" si="25"/>
        <v>3</v>
      </c>
      <c r="B103" s="9" t="s">
        <v>321</v>
      </c>
      <c r="C103" s="9">
        <v>195</v>
      </c>
      <c r="D103" s="9">
        <v>3</v>
      </c>
      <c r="E103" s="9">
        <v>90</v>
      </c>
      <c r="F103" s="4">
        <v>60</v>
      </c>
      <c r="G103" s="32">
        <v>35.6</v>
      </c>
      <c r="H103" s="30">
        <f t="shared" ref="H103:H137" si="27">ROUND(G103*1000/1.16/50,0)</f>
        <v>614</v>
      </c>
      <c r="I103" s="9"/>
      <c r="J103">
        <f t="shared" si="23"/>
        <v>0</v>
      </c>
      <c r="K103" s="12" t="str">
        <f t="shared" si="26"/>
        <v>1 préparateur OBLC 200</v>
      </c>
      <c r="L103" s="34">
        <v>120</v>
      </c>
      <c r="M103" s="9">
        <f t="shared" si="24"/>
        <v>12</v>
      </c>
      <c r="N103" s="9">
        <f t="shared" si="21"/>
        <v>0.61399999999999999</v>
      </c>
    </row>
    <row r="104" spans="1:14" x14ac:dyDescent="0.2">
      <c r="A104">
        <f t="shared" si="25"/>
        <v>3</v>
      </c>
      <c r="B104" s="9" t="s">
        <v>328</v>
      </c>
      <c r="C104" s="9">
        <v>195</v>
      </c>
      <c r="D104" s="9">
        <v>3</v>
      </c>
      <c r="E104" s="9">
        <v>90</v>
      </c>
      <c r="F104" s="4">
        <v>60</v>
      </c>
      <c r="G104" s="32">
        <v>42.1</v>
      </c>
      <c r="H104" s="30">
        <f t="shared" si="27"/>
        <v>726</v>
      </c>
      <c r="I104" s="9"/>
      <c r="J104">
        <f t="shared" si="23"/>
        <v>0</v>
      </c>
      <c r="K104" s="12" t="str">
        <f t="shared" si="26"/>
        <v>1 préparateur OBPB 200</v>
      </c>
      <c r="L104" s="34">
        <v>140</v>
      </c>
      <c r="M104" s="9">
        <f t="shared" si="24"/>
        <v>14</v>
      </c>
      <c r="N104" s="9">
        <f t="shared" si="21"/>
        <v>0.72599999999999998</v>
      </c>
    </row>
    <row r="105" spans="1:14" x14ac:dyDescent="0.2">
      <c r="A105">
        <f t="shared" si="25"/>
        <v>3</v>
      </c>
      <c r="B105" s="9" t="s">
        <v>322</v>
      </c>
      <c r="C105" s="9">
        <v>295</v>
      </c>
      <c r="D105" s="9">
        <v>3</v>
      </c>
      <c r="E105" s="9">
        <v>90</v>
      </c>
      <c r="F105" s="4">
        <v>60</v>
      </c>
      <c r="G105" s="32">
        <v>42.1</v>
      </c>
      <c r="H105" s="30">
        <f t="shared" si="27"/>
        <v>726</v>
      </c>
      <c r="I105" s="9"/>
      <c r="J105">
        <f t="shared" si="23"/>
        <v>0</v>
      </c>
      <c r="K105" s="12" t="str">
        <f t="shared" si="26"/>
        <v>1 préparateur OBLC 300</v>
      </c>
      <c r="L105" s="34">
        <v>130</v>
      </c>
      <c r="M105" s="9">
        <f t="shared" si="24"/>
        <v>13</v>
      </c>
      <c r="N105" s="9">
        <f t="shared" si="21"/>
        <v>0.72599999999999998</v>
      </c>
    </row>
    <row r="106" spans="1:14" x14ac:dyDescent="0.2">
      <c r="A106">
        <f t="shared" si="25"/>
        <v>3</v>
      </c>
      <c r="B106" s="9" t="s">
        <v>329</v>
      </c>
      <c r="C106" s="9">
        <v>290</v>
      </c>
      <c r="D106" s="9">
        <v>3</v>
      </c>
      <c r="E106" s="9">
        <v>90</v>
      </c>
      <c r="F106" s="4">
        <v>60</v>
      </c>
      <c r="G106" s="32">
        <v>58.3</v>
      </c>
      <c r="H106" s="30">
        <f t="shared" si="27"/>
        <v>1005</v>
      </c>
      <c r="I106" s="9"/>
      <c r="J106">
        <f t="shared" si="23"/>
        <v>0</v>
      </c>
      <c r="K106" s="12" t="str">
        <f t="shared" si="26"/>
        <v>1 préparateur OBPB 300</v>
      </c>
      <c r="L106" s="34">
        <v>170</v>
      </c>
      <c r="M106" s="9">
        <f t="shared" si="24"/>
        <v>17</v>
      </c>
      <c r="N106" s="9">
        <f t="shared" si="21"/>
        <v>1.0049999999999999</v>
      </c>
    </row>
    <row r="107" spans="1:14" x14ac:dyDescent="0.2">
      <c r="A107">
        <f t="shared" si="25"/>
        <v>3</v>
      </c>
      <c r="B107" s="9" t="s">
        <v>323</v>
      </c>
      <c r="C107" s="9">
        <v>390</v>
      </c>
      <c r="D107" s="9">
        <v>3</v>
      </c>
      <c r="E107" s="9">
        <v>90</v>
      </c>
      <c r="F107" s="4">
        <v>60</v>
      </c>
      <c r="G107" s="32">
        <v>60.5</v>
      </c>
      <c r="H107" s="30">
        <f t="shared" si="27"/>
        <v>1043</v>
      </c>
      <c r="I107" s="9"/>
      <c r="J107">
        <f t="shared" si="23"/>
        <v>0</v>
      </c>
      <c r="K107" s="12" t="str">
        <f t="shared" si="26"/>
        <v>1 préparateur OBLC 400</v>
      </c>
      <c r="L107" s="34">
        <v>170</v>
      </c>
      <c r="M107" s="9">
        <f t="shared" si="24"/>
        <v>17</v>
      </c>
      <c r="N107" s="9">
        <f t="shared" si="21"/>
        <v>1.0429999999999999</v>
      </c>
    </row>
    <row r="108" spans="1:14" x14ac:dyDescent="0.2">
      <c r="A108">
        <f t="shared" si="25"/>
        <v>3</v>
      </c>
      <c r="B108" s="9" t="s">
        <v>330</v>
      </c>
      <c r="C108" s="9">
        <v>385</v>
      </c>
      <c r="D108" s="9">
        <v>3</v>
      </c>
      <c r="E108" s="9">
        <v>90</v>
      </c>
      <c r="F108" s="4">
        <v>60</v>
      </c>
      <c r="G108" s="32">
        <v>73.400000000000006</v>
      </c>
      <c r="H108" s="30">
        <f t="shared" si="27"/>
        <v>1266</v>
      </c>
      <c r="I108" s="9"/>
      <c r="J108">
        <f t="shared" si="23"/>
        <v>0</v>
      </c>
      <c r="K108" s="12" t="str">
        <f t="shared" si="26"/>
        <v>1 préparateur OBPB 400</v>
      </c>
      <c r="L108" s="34">
        <v>200</v>
      </c>
      <c r="M108" s="9">
        <f t="shared" si="24"/>
        <v>20</v>
      </c>
      <c r="N108" s="9">
        <f t="shared" si="21"/>
        <v>1.266</v>
      </c>
    </row>
    <row r="109" spans="1:14" x14ac:dyDescent="0.2">
      <c r="A109">
        <f t="shared" si="25"/>
        <v>3</v>
      </c>
      <c r="B109" s="9" t="s">
        <v>324</v>
      </c>
      <c r="C109" s="9">
        <v>495</v>
      </c>
      <c r="D109" s="9">
        <v>3</v>
      </c>
      <c r="E109" s="9">
        <v>90</v>
      </c>
      <c r="F109" s="4">
        <v>60</v>
      </c>
      <c r="G109" s="32">
        <v>71.3</v>
      </c>
      <c r="H109" s="30">
        <f t="shared" si="27"/>
        <v>1229</v>
      </c>
      <c r="I109" s="9"/>
      <c r="J109">
        <f t="shared" si="23"/>
        <v>0</v>
      </c>
      <c r="K109" s="12" t="str">
        <f t="shared" si="26"/>
        <v>1 préparateur OBLC 500</v>
      </c>
      <c r="L109" s="34">
        <v>200</v>
      </c>
      <c r="M109" s="9">
        <f t="shared" si="24"/>
        <v>20</v>
      </c>
      <c r="N109" s="9">
        <f t="shared" si="21"/>
        <v>1.2290000000000001</v>
      </c>
    </row>
    <row r="110" spans="1:14" x14ac:dyDescent="0.2">
      <c r="A110">
        <f t="shared" si="25"/>
        <v>3</v>
      </c>
      <c r="B110" s="9" t="s">
        <v>331</v>
      </c>
      <c r="C110" s="9">
        <v>485</v>
      </c>
      <c r="D110" s="9">
        <v>3</v>
      </c>
      <c r="E110" s="9">
        <v>90</v>
      </c>
      <c r="F110" s="4">
        <v>60</v>
      </c>
      <c r="G110" s="32">
        <v>92.9</v>
      </c>
      <c r="H110" s="30">
        <f t="shared" si="27"/>
        <v>1602</v>
      </c>
      <c r="I110" s="9"/>
      <c r="J110">
        <f t="shared" si="23"/>
        <v>0</v>
      </c>
      <c r="K110" s="12" t="str">
        <f t="shared" si="26"/>
        <v>1 préparateur OBPB 500</v>
      </c>
      <c r="L110" s="34">
        <v>260</v>
      </c>
      <c r="M110" s="9">
        <f t="shared" si="24"/>
        <v>26</v>
      </c>
      <c r="N110" s="9">
        <f t="shared" si="21"/>
        <v>1.6020000000000001</v>
      </c>
    </row>
    <row r="111" spans="1:14" x14ac:dyDescent="0.2">
      <c r="A111">
        <f t="shared" si="25"/>
        <v>3</v>
      </c>
      <c r="B111" s="9" t="s">
        <v>364</v>
      </c>
      <c r="C111" s="9">
        <v>590</v>
      </c>
      <c r="D111" s="9">
        <v>6</v>
      </c>
      <c r="E111" s="9">
        <v>90</v>
      </c>
      <c r="F111" s="4">
        <v>60</v>
      </c>
      <c r="G111" s="32">
        <v>84.2</v>
      </c>
      <c r="H111" s="30">
        <f t="shared" si="27"/>
        <v>1452</v>
      </c>
      <c r="I111" s="9"/>
      <c r="J111">
        <f t="shared" si="23"/>
        <v>0</v>
      </c>
      <c r="K111" s="12" t="str">
        <f t="shared" si="26"/>
        <v>2 préparateurs OBLC 300 raccordés en parallèle</v>
      </c>
      <c r="L111" s="34">
        <f>L105</f>
        <v>130</v>
      </c>
      <c r="M111" s="9">
        <f t="shared" si="24"/>
        <v>13</v>
      </c>
      <c r="N111" s="9">
        <f t="shared" si="21"/>
        <v>1.452</v>
      </c>
    </row>
    <row r="112" spans="1:14" x14ac:dyDescent="0.2">
      <c r="A112">
        <f t="shared" si="25"/>
        <v>3</v>
      </c>
      <c r="B112" s="9" t="s">
        <v>361</v>
      </c>
      <c r="C112" s="9">
        <v>580</v>
      </c>
      <c r="D112" s="9">
        <v>6</v>
      </c>
      <c r="E112" s="9">
        <v>90</v>
      </c>
      <c r="F112" s="4">
        <v>60</v>
      </c>
      <c r="G112" s="32">
        <f>2*G106</f>
        <v>116.6</v>
      </c>
      <c r="H112" s="30">
        <f t="shared" si="27"/>
        <v>2010</v>
      </c>
      <c r="I112" s="9"/>
      <c r="J112">
        <f t="shared" si="23"/>
        <v>0</v>
      </c>
      <c r="K112" s="12" t="str">
        <f t="shared" si="26"/>
        <v>2 préparateurs OBPB 300 raccordés en parallèle</v>
      </c>
      <c r="L112" s="34">
        <f>L106</f>
        <v>170</v>
      </c>
      <c r="M112" s="9">
        <f t="shared" si="24"/>
        <v>17</v>
      </c>
      <c r="N112" s="9">
        <f t="shared" si="21"/>
        <v>2.0099999999999998</v>
      </c>
    </row>
    <row r="113" spans="1:14" x14ac:dyDescent="0.2">
      <c r="A113">
        <f t="shared" si="25"/>
        <v>3</v>
      </c>
      <c r="B113" s="9" t="s">
        <v>335</v>
      </c>
      <c r="C113" s="9">
        <v>650</v>
      </c>
      <c r="D113" s="9">
        <v>6.6</v>
      </c>
      <c r="E113" s="9">
        <v>90</v>
      </c>
      <c r="F113" s="4">
        <v>60</v>
      </c>
      <c r="G113" s="32">
        <v>114</v>
      </c>
      <c r="H113" s="30">
        <f t="shared" si="27"/>
        <v>1966</v>
      </c>
      <c r="I113" s="9"/>
      <c r="J113">
        <f t="shared" si="23"/>
        <v>0</v>
      </c>
      <c r="K113" s="12" t="str">
        <f t="shared" si="26"/>
        <v>1 préparateur OB 650</v>
      </c>
      <c r="L113" s="34">
        <v>330</v>
      </c>
      <c r="M113" s="9">
        <f t="shared" si="24"/>
        <v>33</v>
      </c>
      <c r="N113" s="9">
        <f t="shared" si="21"/>
        <v>1.966</v>
      </c>
    </row>
    <row r="114" spans="1:14" x14ac:dyDescent="0.2">
      <c r="A114">
        <f>J114+A116</f>
        <v>3</v>
      </c>
      <c r="B114" s="9" t="s">
        <v>336</v>
      </c>
      <c r="C114" s="9">
        <v>780</v>
      </c>
      <c r="D114" s="9">
        <v>6.6</v>
      </c>
      <c r="E114" s="9">
        <v>90</v>
      </c>
      <c r="F114" s="4">
        <v>60</v>
      </c>
      <c r="G114" s="32">
        <v>114</v>
      </c>
      <c r="H114" s="30">
        <f>ROUND(G114*1000/1.16/50,0)</f>
        <v>1966</v>
      </c>
      <c r="I114" s="9"/>
      <c r="J114">
        <f>IF(Tecs=F114,1,0)*IF(E114=$B$1,1,0)*IF(C114&gt;=$B$2,1,0)*IF(G114&gt;=$B$3,1,0)</f>
        <v>0</v>
      </c>
      <c r="K114" s="12" t="str">
        <f>K79</f>
        <v>1 préparateur OB 800</v>
      </c>
      <c r="L114" s="34">
        <v>330</v>
      </c>
      <c r="M114" s="9">
        <f>L114/10</f>
        <v>33</v>
      </c>
      <c r="N114" s="9">
        <f>H114/1000</f>
        <v>1.966</v>
      </c>
    </row>
    <row r="115" spans="1:14" x14ac:dyDescent="0.2">
      <c r="A115">
        <f>J115+A113</f>
        <v>3</v>
      </c>
      <c r="B115" s="9" t="s">
        <v>365</v>
      </c>
      <c r="C115" s="9">
        <v>780</v>
      </c>
      <c r="D115" s="9">
        <v>6</v>
      </c>
      <c r="E115" s="9">
        <v>90</v>
      </c>
      <c r="F115" s="4">
        <v>60</v>
      </c>
      <c r="G115" s="32">
        <f>2*G107</f>
        <v>121</v>
      </c>
      <c r="H115" s="30">
        <f t="shared" si="27"/>
        <v>2086</v>
      </c>
      <c r="I115" s="9"/>
      <c r="J115">
        <f t="shared" si="23"/>
        <v>0</v>
      </c>
      <c r="K115" s="12" t="str">
        <f>K77</f>
        <v>2 préparateurs OBLC 400 raccordés en parallèle</v>
      </c>
      <c r="L115" s="34">
        <f>L107</f>
        <v>170</v>
      </c>
      <c r="M115" s="9">
        <f t="shared" si="24"/>
        <v>17</v>
      </c>
      <c r="N115" s="9">
        <f t="shared" si="21"/>
        <v>2.0859999999999999</v>
      </c>
    </row>
    <row r="116" spans="1:14" x14ac:dyDescent="0.2">
      <c r="A116">
        <f t="shared" si="25"/>
        <v>3</v>
      </c>
      <c r="B116" s="9" t="s">
        <v>362</v>
      </c>
      <c r="C116" s="9">
        <v>770</v>
      </c>
      <c r="D116" s="9">
        <v>6</v>
      </c>
      <c r="E116" s="9">
        <v>90</v>
      </c>
      <c r="F116" s="4">
        <v>60</v>
      </c>
      <c r="G116" s="32">
        <f>2*G108</f>
        <v>146.80000000000001</v>
      </c>
      <c r="H116" s="30">
        <f t="shared" si="27"/>
        <v>2531</v>
      </c>
      <c r="I116" s="9"/>
      <c r="J116">
        <f t="shared" si="23"/>
        <v>0</v>
      </c>
      <c r="K116" s="12" t="str">
        <f>K78</f>
        <v>2 préparateurs OBPB 400 raccordés en parallèle</v>
      </c>
      <c r="L116" s="34">
        <f>L108</f>
        <v>200</v>
      </c>
      <c r="M116" s="9">
        <f t="shared" si="24"/>
        <v>20</v>
      </c>
      <c r="N116" s="9">
        <f t="shared" si="21"/>
        <v>2.5310000000000001</v>
      </c>
    </row>
    <row r="117" spans="1:14" x14ac:dyDescent="0.2">
      <c r="A117">
        <f>J117+A114</f>
        <v>3</v>
      </c>
      <c r="B117" s="9" t="s">
        <v>366</v>
      </c>
      <c r="C117" s="9">
        <v>990</v>
      </c>
      <c r="D117" s="9">
        <v>9</v>
      </c>
      <c r="E117" s="9">
        <v>90</v>
      </c>
      <c r="F117" s="4">
        <v>60</v>
      </c>
      <c r="G117" s="32">
        <f>3*G105</f>
        <v>126.30000000000001</v>
      </c>
      <c r="H117" s="30">
        <f t="shared" si="27"/>
        <v>2178</v>
      </c>
      <c r="I117" s="9"/>
      <c r="J117">
        <f t="shared" si="23"/>
        <v>0</v>
      </c>
      <c r="K117" s="12" t="str">
        <f t="shared" ref="K117:K135" si="28">K80</f>
        <v>3 préparateurs OBLC 300 raccordés en parallèle</v>
      </c>
      <c r="L117" s="34">
        <f>L105</f>
        <v>130</v>
      </c>
      <c r="M117" s="9">
        <f t="shared" si="24"/>
        <v>13</v>
      </c>
      <c r="N117" s="9">
        <f t="shared" si="21"/>
        <v>2.1779999999999999</v>
      </c>
    </row>
    <row r="118" spans="1:14" x14ac:dyDescent="0.2">
      <c r="A118">
        <f t="shared" si="25"/>
        <v>3</v>
      </c>
      <c r="B118" s="9" t="s">
        <v>332</v>
      </c>
      <c r="C118" s="9">
        <v>870</v>
      </c>
      <c r="D118" s="9">
        <v>9</v>
      </c>
      <c r="E118" s="9">
        <v>90</v>
      </c>
      <c r="F118" s="4">
        <v>60</v>
      </c>
      <c r="G118" s="32">
        <f>3*G106</f>
        <v>174.89999999999998</v>
      </c>
      <c r="H118" s="30">
        <f t="shared" si="27"/>
        <v>3016</v>
      </c>
      <c r="I118" s="9"/>
      <c r="J118">
        <f t="shared" si="23"/>
        <v>0</v>
      </c>
      <c r="K118" s="12" t="str">
        <f t="shared" si="28"/>
        <v>3 préparateurs OBPB 300 raccordés en parallèle</v>
      </c>
      <c r="L118" s="34">
        <f>L106</f>
        <v>170</v>
      </c>
      <c r="M118" s="9">
        <f t="shared" si="24"/>
        <v>17</v>
      </c>
      <c r="N118" s="9">
        <f t="shared" si="21"/>
        <v>3.016</v>
      </c>
    </row>
    <row r="119" spans="1:14" x14ac:dyDescent="0.2">
      <c r="A119">
        <f t="shared" si="25"/>
        <v>3</v>
      </c>
      <c r="B119" s="9" t="s">
        <v>337</v>
      </c>
      <c r="C119" s="9">
        <v>980</v>
      </c>
      <c r="D119" s="9">
        <v>7.2</v>
      </c>
      <c r="E119" s="9">
        <v>90</v>
      </c>
      <c r="F119" s="4">
        <v>60</v>
      </c>
      <c r="G119" s="32">
        <v>125.4</v>
      </c>
      <c r="H119" s="30">
        <f t="shared" si="27"/>
        <v>2162</v>
      </c>
      <c r="I119" s="9"/>
      <c r="J119">
        <f t="shared" si="23"/>
        <v>0</v>
      </c>
      <c r="K119" s="12" t="str">
        <f t="shared" si="28"/>
        <v>1 préparateur OB 1000</v>
      </c>
      <c r="L119" s="34">
        <v>490</v>
      </c>
      <c r="M119" s="9">
        <f t="shared" si="24"/>
        <v>49</v>
      </c>
      <c r="N119" s="9">
        <f t="shared" si="21"/>
        <v>2.1619999999999999</v>
      </c>
    </row>
    <row r="120" spans="1:14" x14ac:dyDescent="0.2">
      <c r="A120">
        <f t="shared" si="25"/>
        <v>3</v>
      </c>
      <c r="B120" s="9" t="s">
        <v>366</v>
      </c>
      <c r="C120" s="9">
        <v>990</v>
      </c>
      <c r="D120" s="9">
        <v>6</v>
      </c>
      <c r="E120" s="9">
        <v>90</v>
      </c>
      <c r="F120" s="4">
        <v>60</v>
      </c>
      <c r="G120" s="32">
        <f>2*G109</f>
        <v>142.6</v>
      </c>
      <c r="H120" s="30">
        <f t="shared" si="27"/>
        <v>2459</v>
      </c>
      <c r="I120" s="9"/>
      <c r="J120">
        <f t="shared" si="23"/>
        <v>0</v>
      </c>
      <c r="K120" s="12" t="str">
        <f t="shared" si="28"/>
        <v>2 préparateurs OBLC 500 raccordés en parallèle</v>
      </c>
      <c r="L120" s="34">
        <f>L109</f>
        <v>200</v>
      </c>
      <c r="M120" s="9">
        <f t="shared" si="24"/>
        <v>20</v>
      </c>
      <c r="N120" s="9">
        <f t="shared" si="21"/>
        <v>2.4590000000000001</v>
      </c>
    </row>
    <row r="121" spans="1:14" x14ac:dyDescent="0.2">
      <c r="A121">
        <f t="shared" si="25"/>
        <v>3</v>
      </c>
      <c r="B121" s="9" t="s">
        <v>363</v>
      </c>
      <c r="C121" s="9">
        <v>970</v>
      </c>
      <c r="D121" s="9">
        <v>6</v>
      </c>
      <c r="E121" s="9">
        <v>90</v>
      </c>
      <c r="F121" s="4">
        <v>60</v>
      </c>
      <c r="G121" s="32">
        <f>2*G110</f>
        <v>185.8</v>
      </c>
      <c r="H121" s="30">
        <f t="shared" si="27"/>
        <v>3203</v>
      </c>
      <c r="I121" s="9"/>
      <c r="J121">
        <f t="shared" si="23"/>
        <v>0</v>
      </c>
      <c r="K121" s="12" t="str">
        <f t="shared" si="28"/>
        <v>2 préparateurs OBPB 500 raccordés en parallèle</v>
      </c>
      <c r="L121" s="34">
        <f>L110</f>
        <v>260</v>
      </c>
      <c r="M121" s="9">
        <f t="shared" si="24"/>
        <v>26</v>
      </c>
      <c r="N121" s="9">
        <f t="shared" si="21"/>
        <v>3.2029999999999998</v>
      </c>
    </row>
    <row r="122" spans="1:14" x14ac:dyDescent="0.2">
      <c r="A122">
        <f t="shared" si="25"/>
        <v>3</v>
      </c>
      <c r="B122" s="9" t="s">
        <v>325</v>
      </c>
      <c r="C122" s="9">
        <v>1170</v>
      </c>
      <c r="D122" s="9">
        <v>9</v>
      </c>
      <c r="E122" s="9">
        <v>90</v>
      </c>
      <c r="F122" s="4">
        <v>60</v>
      </c>
      <c r="G122" s="32">
        <f>3*G107</f>
        <v>181.5</v>
      </c>
      <c r="H122" s="30">
        <f t="shared" si="27"/>
        <v>3129</v>
      </c>
      <c r="I122" s="9"/>
      <c r="J122">
        <f t="shared" si="23"/>
        <v>0</v>
      </c>
      <c r="K122" s="12" t="str">
        <f t="shared" si="28"/>
        <v>3 préparateurs OBLC 400 raccordés en parallèle</v>
      </c>
      <c r="L122" s="34">
        <f>L107</f>
        <v>170</v>
      </c>
      <c r="M122" s="9">
        <f t="shared" si="24"/>
        <v>17</v>
      </c>
      <c r="N122" s="9">
        <f t="shared" si="21"/>
        <v>3.129</v>
      </c>
    </row>
    <row r="123" spans="1:14" x14ac:dyDescent="0.2">
      <c r="A123">
        <f t="shared" si="25"/>
        <v>3</v>
      </c>
      <c r="B123" s="9" t="s">
        <v>333</v>
      </c>
      <c r="C123" s="9">
        <v>1155</v>
      </c>
      <c r="D123" s="9">
        <v>9</v>
      </c>
      <c r="E123" s="9">
        <v>90</v>
      </c>
      <c r="F123" s="4">
        <v>60</v>
      </c>
      <c r="G123" s="32">
        <f>3*G108</f>
        <v>220.20000000000002</v>
      </c>
      <c r="H123" s="30">
        <f t="shared" si="27"/>
        <v>3797</v>
      </c>
      <c r="I123" s="9"/>
      <c r="J123">
        <f t="shared" ref="J123:J137" si="29">IF(Tecs=F123,1,0)*IF(E123=$B$1,1,0)*IF(C123&gt;=$B$2,1,0)*IF(G123&gt;=$B$3,1,0)</f>
        <v>0</v>
      </c>
      <c r="K123" s="12" t="str">
        <f t="shared" si="28"/>
        <v>3 préparateurs OBPB 400 raccordés en parallèle</v>
      </c>
      <c r="L123" s="34">
        <f>L108</f>
        <v>200</v>
      </c>
      <c r="M123" s="9">
        <f t="shared" si="24"/>
        <v>20</v>
      </c>
      <c r="N123" s="9">
        <f t="shared" si="21"/>
        <v>3.7970000000000002</v>
      </c>
    </row>
    <row r="124" spans="1:14" x14ac:dyDescent="0.2">
      <c r="A124">
        <f t="shared" si="25"/>
        <v>3</v>
      </c>
      <c r="B124" s="9" t="s">
        <v>338</v>
      </c>
      <c r="C124" s="9">
        <v>1300</v>
      </c>
      <c r="D124" s="9">
        <f>2*D113</f>
        <v>13.2</v>
      </c>
      <c r="E124" s="9">
        <v>90</v>
      </c>
      <c r="F124" s="4">
        <v>60</v>
      </c>
      <c r="G124" s="32">
        <f>2*G113</f>
        <v>228</v>
      </c>
      <c r="H124" s="30">
        <f t="shared" si="27"/>
        <v>3931</v>
      </c>
      <c r="I124" s="9"/>
      <c r="J124">
        <f t="shared" si="29"/>
        <v>0</v>
      </c>
      <c r="K124" s="12" t="str">
        <f t="shared" si="28"/>
        <v>2 préparateurs OB 650</v>
      </c>
      <c r="L124" s="34">
        <f>+L113</f>
        <v>330</v>
      </c>
      <c r="M124" s="9">
        <f t="shared" si="24"/>
        <v>33</v>
      </c>
      <c r="N124" s="9">
        <f t="shared" si="21"/>
        <v>3.931</v>
      </c>
    </row>
    <row r="125" spans="1:14" x14ac:dyDescent="0.2">
      <c r="A125">
        <f t="shared" si="25"/>
        <v>3</v>
      </c>
      <c r="B125" s="9" t="s">
        <v>339</v>
      </c>
      <c r="C125" s="9">
        <v>1500</v>
      </c>
      <c r="D125" s="9">
        <v>9</v>
      </c>
      <c r="E125" s="9">
        <v>90</v>
      </c>
      <c r="F125" s="4">
        <v>60</v>
      </c>
      <c r="G125" s="32">
        <v>156.80000000000001</v>
      </c>
      <c r="H125" s="30">
        <f t="shared" si="27"/>
        <v>2703</v>
      </c>
      <c r="I125" s="9"/>
      <c r="J125">
        <f t="shared" si="29"/>
        <v>0</v>
      </c>
      <c r="K125" s="12" t="str">
        <f t="shared" si="28"/>
        <v>1 préparateur OB 1500</v>
      </c>
      <c r="L125" s="34">
        <v>860</v>
      </c>
      <c r="M125" s="9">
        <f t="shared" si="24"/>
        <v>86</v>
      </c>
      <c r="N125" s="9">
        <f t="shared" si="21"/>
        <v>2.7029999999999998</v>
      </c>
    </row>
    <row r="126" spans="1:14" x14ac:dyDescent="0.2">
      <c r="A126">
        <f t="shared" si="25"/>
        <v>3</v>
      </c>
      <c r="B126" s="9" t="s">
        <v>326</v>
      </c>
      <c r="C126" s="9">
        <v>1485</v>
      </c>
      <c r="D126" s="9">
        <v>9</v>
      </c>
      <c r="E126" s="9">
        <v>90</v>
      </c>
      <c r="F126" s="4">
        <v>60</v>
      </c>
      <c r="G126" s="32">
        <f>3*G109</f>
        <v>213.89999999999998</v>
      </c>
      <c r="H126" s="30">
        <f t="shared" si="27"/>
        <v>3688</v>
      </c>
      <c r="I126" s="9"/>
      <c r="J126">
        <f t="shared" si="29"/>
        <v>0</v>
      </c>
      <c r="K126" s="12" t="str">
        <f t="shared" si="28"/>
        <v>3 préparateurs OBLC 500 raccordés en parallèle</v>
      </c>
      <c r="L126" s="34">
        <f>L109</f>
        <v>200</v>
      </c>
      <c r="M126" s="9">
        <f t="shared" si="24"/>
        <v>20</v>
      </c>
      <c r="N126" s="9">
        <f t="shared" si="21"/>
        <v>3.6880000000000002</v>
      </c>
    </row>
    <row r="127" spans="1:14" x14ac:dyDescent="0.2">
      <c r="A127">
        <f t="shared" si="25"/>
        <v>3</v>
      </c>
      <c r="B127" s="9" t="s">
        <v>334</v>
      </c>
      <c r="C127" s="9">
        <v>1455</v>
      </c>
      <c r="D127" s="9">
        <v>9</v>
      </c>
      <c r="E127" s="9">
        <v>90</v>
      </c>
      <c r="F127" s="4">
        <v>60</v>
      </c>
      <c r="G127" s="32">
        <f>3*G110</f>
        <v>278.70000000000005</v>
      </c>
      <c r="H127" s="30">
        <f t="shared" si="27"/>
        <v>4805</v>
      </c>
      <c r="I127" s="9"/>
      <c r="J127">
        <f t="shared" si="29"/>
        <v>0</v>
      </c>
      <c r="K127" s="12" t="str">
        <f t="shared" si="28"/>
        <v>3 préparateurs OBPB 500 raccordés en parallèle</v>
      </c>
      <c r="L127" s="34">
        <f>L110</f>
        <v>260</v>
      </c>
      <c r="M127" s="9">
        <f t="shared" si="24"/>
        <v>26</v>
      </c>
      <c r="N127" s="9">
        <f t="shared" si="21"/>
        <v>4.8049999999999997</v>
      </c>
    </row>
    <row r="128" spans="1:14" x14ac:dyDescent="0.2">
      <c r="A128">
        <f t="shared" si="25"/>
        <v>3</v>
      </c>
      <c r="B128" s="9" t="s">
        <v>340</v>
      </c>
      <c r="C128" s="9">
        <v>1560</v>
      </c>
      <c r="D128" s="9">
        <f>2*D114</f>
        <v>13.2</v>
      </c>
      <c r="E128" s="9">
        <v>90</v>
      </c>
      <c r="F128" s="4">
        <v>60</v>
      </c>
      <c r="G128" s="32">
        <f>2*G114</f>
        <v>228</v>
      </c>
      <c r="H128" s="30">
        <f t="shared" si="27"/>
        <v>3931</v>
      </c>
      <c r="I128" s="9"/>
      <c r="J128">
        <f t="shared" si="29"/>
        <v>0</v>
      </c>
      <c r="K128" s="12" t="str">
        <f t="shared" si="28"/>
        <v>2 préparateurs OB 800 raccordés en parallèle</v>
      </c>
      <c r="L128" s="34">
        <f>+L114</f>
        <v>330</v>
      </c>
      <c r="M128" s="9">
        <f t="shared" si="24"/>
        <v>33</v>
      </c>
      <c r="N128" s="9">
        <f t="shared" si="21"/>
        <v>3.931</v>
      </c>
    </row>
    <row r="129" spans="1:23" x14ac:dyDescent="0.2">
      <c r="A129">
        <f t="shared" si="25"/>
        <v>3</v>
      </c>
      <c r="B129" s="9" t="s">
        <v>341</v>
      </c>
      <c r="C129" s="9">
        <v>1950</v>
      </c>
      <c r="D129" s="9">
        <f>3*D113</f>
        <v>19.799999999999997</v>
      </c>
      <c r="E129" s="9">
        <v>90</v>
      </c>
      <c r="F129" s="4">
        <v>60</v>
      </c>
      <c r="G129" s="32">
        <f>3*G113</f>
        <v>342</v>
      </c>
      <c r="H129" s="30">
        <f t="shared" si="27"/>
        <v>5897</v>
      </c>
      <c r="I129" s="9"/>
      <c r="J129">
        <f t="shared" si="29"/>
        <v>0</v>
      </c>
      <c r="K129" s="12" t="str">
        <f t="shared" si="28"/>
        <v>3 préparateurs OB 650</v>
      </c>
      <c r="L129" s="34">
        <f>+L113</f>
        <v>330</v>
      </c>
      <c r="M129" s="9">
        <f t="shared" si="24"/>
        <v>33</v>
      </c>
      <c r="N129" s="9">
        <f t="shared" si="21"/>
        <v>5.8970000000000002</v>
      </c>
    </row>
    <row r="130" spans="1:23" x14ac:dyDescent="0.2">
      <c r="A130">
        <f>J130+A131</f>
        <v>3</v>
      </c>
      <c r="B130" s="9" t="s">
        <v>343</v>
      </c>
      <c r="C130" s="9">
        <v>1960</v>
      </c>
      <c r="D130" s="9">
        <f>2*D119</f>
        <v>14.4</v>
      </c>
      <c r="E130" s="9">
        <v>90</v>
      </c>
      <c r="F130" s="4">
        <v>60</v>
      </c>
      <c r="G130" s="32">
        <f>2*G119</f>
        <v>250.8</v>
      </c>
      <c r="H130" s="30">
        <f>ROUND(G130*1000/1.16/50,0)</f>
        <v>4324</v>
      </c>
      <c r="I130" s="9"/>
      <c r="J130">
        <f>IF(Tecs=F130,1,0)*IF(E130=$B$1,1,0)*IF(C130&gt;=$B$2,1,0)*IF(G130&gt;=$B$3,1,0)</f>
        <v>0</v>
      </c>
      <c r="K130" s="12" t="str">
        <f t="shared" si="28"/>
        <v>2 préparateurs OB 1000 raccordés en parallèle</v>
      </c>
      <c r="L130" s="34">
        <f>+L119</f>
        <v>490</v>
      </c>
      <c r="M130" s="9">
        <f>L130/10</f>
        <v>49</v>
      </c>
      <c r="N130" s="9">
        <f>H130/1000</f>
        <v>4.3239999999999998</v>
      </c>
    </row>
    <row r="131" spans="1:23" x14ac:dyDescent="0.2">
      <c r="A131">
        <f>J131+A129</f>
        <v>3</v>
      </c>
      <c r="B131" s="9" t="s">
        <v>342</v>
      </c>
      <c r="C131" s="9">
        <v>2000</v>
      </c>
      <c r="D131" s="9">
        <v>9</v>
      </c>
      <c r="E131" s="9">
        <v>90</v>
      </c>
      <c r="F131" s="4">
        <v>60</v>
      </c>
      <c r="G131" s="32">
        <v>156.80000000000001</v>
      </c>
      <c r="H131" s="30">
        <f t="shared" si="27"/>
        <v>2703</v>
      </c>
      <c r="I131" s="9"/>
      <c r="J131">
        <f t="shared" si="29"/>
        <v>0</v>
      </c>
      <c r="K131" s="12" t="str">
        <f t="shared" si="28"/>
        <v>1 préparateur OB 2000</v>
      </c>
      <c r="L131" s="34">
        <v>860</v>
      </c>
      <c r="M131" s="9">
        <f t="shared" si="24"/>
        <v>86</v>
      </c>
      <c r="N131" s="9">
        <f t="shared" si="21"/>
        <v>2.7029999999999998</v>
      </c>
    </row>
    <row r="132" spans="1:23" x14ac:dyDescent="0.2">
      <c r="A132">
        <f>J132+A130</f>
        <v>3</v>
      </c>
      <c r="B132" s="9" t="s">
        <v>344</v>
      </c>
      <c r="C132" s="9">
        <v>2500</v>
      </c>
      <c r="D132" s="9">
        <v>9</v>
      </c>
      <c r="E132" s="9">
        <v>90</v>
      </c>
      <c r="F132" s="4">
        <v>60</v>
      </c>
      <c r="G132" s="32">
        <v>156.80000000000001</v>
      </c>
      <c r="H132" s="30">
        <f t="shared" si="27"/>
        <v>2703</v>
      </c>
      <c r="I132" s="9"/>
      <c r="J132">
        <f t="shared" si="29"/>
        <v>0</v>
      </c>
      <c r="K132" s="12" t="str">
        <f t="shared" si="28"/>
        <v>1 préparateur OB 2500</v>
      </c>
      <c r="L132" s="34">
        <v>860</v>
      </c>
      <c r="M132" s="9">
        <f t="shared" si="24"/>
        <v>86</v>
      </c>
      <c r="N132" s="9">
        <f t="shared" si="21"/>
        <v>2.7029999999999998</v>
      </c>
    </row>
    <row r="133" spans="1:23" x14ac:dyDescent="0.2">
      <c r="A133">
        <f t="shared" si="25"/>
        <v>3</v>
      </c>
      <c r="B133" s="9" t="s">
        <v>345</v>
      </c>
      <c r="C133" s="9">
        <v>3000</v>
      </c>
      <c r="D133" s="9">
        <f>2*D125</f>
        <v>18</v>
      </c>
      <c r="E133" s="9">
        <v>90</v>
      </c>
      <c r="F133" s="4">
        <v>60</v>
      </c>
      <c r="G133" s="32">
        <f>2*G125</f>
        <v>313.60000000000002</v>
      </c>
      <c r="H133" s="30">
        <f t="shared" si="27"/>
        <v>5407</v>
      </c>
      <c r="I133" s="9"/>
      <c r="J133">
        <f t="shared" si="29"/>
        <v>0</v>
      </c>
      <c r="K133" s="12" t="str">
        <f t="shared" si="28"/>
        <v>2 préparateurs OB 1500 raccordés en parallèle</v>
      </c>
      <c r="L133" s="34">
        <f>+L125</f>
        <v>860</v>
      </c>
      <c r="M133" s="9">
        <f t="shared" si="24"/>
        <v>86</v>
      </c>
      <c r="N133" s="9">
        <f t="shared" si="21"/>
        <v>5.407</v>
      </c>
    </row>
    <row r="134" spans="1:23" x14ac:dyDescent="0.2">
      <c r="A134">
        <f t="shared" si="25"/>
        <v>3</v>
      </c>
      <c r="B134" s="9" t="s">
        <v>346</v>
      </c>
      <c r="C134" s="9">
        <v>3000</v>
      </c>
      <c r="D134" s="9">
        <v>9</v>
      </c>
      <c r="E134" s="9">
        <v>90</v>
      </c>
      <c r="F134" s="4">
        <v>60</v>
      </c>
      <c r="G134" s="32">
        <v>156.80000000000001</v>
      </c>
      <c r="H134" s="30">
        <f t="shared" si="27"/>
        <v>2703</v>
      </c>
      <c r="I134" s="9"/>
      <c r="J134">
        <f t="shared" si="29"/>
        <v>0</v>
      </c>
      <c r="K134" s="12" t="str">
        <f t="shared" si="28"/>
        <v>1 préparateur OB 3000</v>
      </c>
      <c r="L134" s="34">
        <v>860</v>
      </c>
      <c r="M134" s="9">
        <f t="shared" si="24"/>
        <v>86</v>
      </c>
      <c r="N134" s="9">
        <f t="shared" si="21"/>
        <v>2.7029999999999998</v>
      </c>
    </row>
    <row r="135" spans="1:23" x14ac:dyDescent="0.2">
      <c r="A135">
        <f t="shared" si="25"/>
        <v>3</v>
      </c>
      <c r="B135" s="9" t="s">
        <v>347</v>
      </c>
      <c r="C135" s="9">
        <v>4000</v>
      </c>
      <c r="D135" s="9">
        <f>2*D131</f>
        <v>18</v>
      </c>
      <c r="E135" s="9">
        <v>90</v>
      </c>
      <c r="F135" s="4">
        <v>60</v>
      </c>
      <c r="G135" s="32">
        <f>2*G131</f>
        <v>313.60000000000002</v>
      </c>
      <c r="H135" s="30">
        <f t="shared" si="27"/>
        <v>5407</v>
      </c>
      <c r="I135" s="9"/>
      <c r="J135">
        <f t="shared" si="29"/>
        <v>0</v>
      </c>
      <c r="K135" s="12" t="str">
        <f t="shared" si="28"/>
        <v>2 préparateurs OB 2000 raccordés en parallèle</v>
      </c>
      <c r="L135" s="34">
        <v>860</v>
      </c>
      <c r="M135" s="9">
        <f t="shared" si="24"/>
        <v>86</v>
      </c>
      <c r="N135" s="9">
        <f t="shared" si="21"/>
        <v>5.407</v>
      </c>
    </row>
    <row r="136" spans="1:23" x14ac:dyDescent="0.2">
      <c r="A136">
        <f t="shared" si="25"/>
        <v>3</v>
      </c>
      <c r="B136" s="9" t="s">
        <v>348</v>
      </c>
      <c r="C136" s="9">
        <v>5000</v>
      </c>
      <c r="D136" s="9">
        <f>2*D132</f>
        <v>18</v>
      </c>
      <c r="E136" s="9">
        <v>90</v>
      </c>
      <c r="F136" s="4">
        <v>60</v>
      </c>
      <c r="G136" s="32">
        <f>2*G132</f>
        <v>313.60000000000002</v>
      </c>
      <c r="H136" s="30">
        <f t="shared" si="27"/>
        <v>5407</v>
      </c>
      <c r="I136" s="9"/>
      <c r="J136">
        <f t="shared" si="29"/>
        <v>0</v>
      </c>
      <c r="K136" s="12" t="str">
        <f>K99</f>
        <v>2 préparateurs OB 2500 raccordés en parallèle</v>
      </c>
      <c r="L136" s="34">
        <f>+L132</f>
        <v>860</v>
      </c>
      <c r="M136" s="9">
        <f t="shared" si="24"/>
        <v>86</v>
      </c>
      <c r="N136" s="9">
        <f t="shared" si="21"/>
        <v>5.407</v>
      </c>
    </row>
    <row r="137" spans="1:23" ht="13.5" thickBot="1" x14ac:dyDescent="0.25">
      <c r="A137">
        <f t="shared" si="25"/>
        <v>3</v>
      </c>
      <c r="B137" s="9" t="s">
        <v>349</v>
      </c>
      <c r="C137" s="9">
        <v>6000</v>
      </c>
      <c r="D137" s="9">
        <f>2*D134</f>
        <v>18</v>
      </c>
      <c r="E137" s="9">
        <v>90</v>
      </c>
      <c r="F137" s="4">
        <v>60</v>
      </c>
      <c r="G137" s="36">
        <f>2*G133</f>
        <v>627.20000000000005</v>
      </c>
      <c r="H137" s="31">
        <f t="shared" si="27"/>
        <v>10814</v>
      </c>
      <c r="I137" s="9"/>
      <c r="J137">
        <f t="shared" si="29"/>
        <v>0</v>
      </c>
      <c r="K137" s="12" t="str">
        <f>K100</f>
        <v>2 préparateurs OB 3000 raccordés en parallèle</v>
      </c>
      <c r="L137" s="40">
        <f>+L134</f>
        <v>860</v>
      </c>
      <c r="M137" s="9">
        <f t="shared" si="24"/>
        <v>86</v>
      </c>
      <c r="N137" s="9">
        <f t="shared" si="21"/>
        <v>10.814</v>
      </c>
    </row>
    <row r="138" spans="1:23" x14ac:dyDescent="0.2">
      <c r="A138">
        <f t="shared" si="25"/>
        <v>4</v>
      </c>
      <c r="B138" s="14" t="s">
        <v>26</v>
      </c>
      <c r="C138" s="14"/>
      <c r="D138" s="14"/>
      <c r="E138" s="14"/>
      <c r="F138" s="15"/>
      <c r="G138" s="14"/>
      <c r="H138" s="14"/>
      <c r="I138" s="14"/>
      <c r="J138" s="14">
        <v>1</v>
      </c>
      <c r="Q138" t="s">
        <v>2</v>
      </c>
      <c r="R138">
        <v>800</v>
      </c>
      <c r="T138">
        <v>90</v>
      </c>
      <c r="U138">
        <v>60</v>
      </c>
      <c r="W138" s="30">
        <f t="shared" ref="W138:W144" si="30">ROUND(V138*1000/1.16/50,0)</f>
        <v>0</v>
      </c>
    </row>
    <row r="139" spans="1:23" x14ac:dyDescent="0.2">
      <c r="Q139" t="s">
        <v>0</v>
      </c>
      <c r="R139">
        <v>1000</v>
      </c>
      <c r="T139">
        <v>70</v>
      </c>
      <c r="U139">
        <v>60</v>
      </c>
      <c r="W139" s="30">
        <f t="shared" si="30"/>
        <v>0</v>
      </c>
    </row>
    <row r="140" spans="1:23" x14ac:dyDescent="0.2">
      <c r="Q140" t="s">
        <v>0</v>
      </c>
      <c r="R140">
        <v>1000</v>
      </c>
      <c r="T140">
        <v>80</v>
      </c>
      <c r="U140">
        <v>60</v>
      </c>
      <c r="W140" s="30">
        <f t="shared" si="30"/>
        <v>0</v>
      </c>
    </row>
    <row r="141" spans="1:23" x14ac:dyDescent="0.2">
      <c r="Q141" t="s">
        <v>0</v>
      </c>
      <c r="R141">
        <v>1000</v>
      </c>
      <c r="T141">
        <v>90</v>
      </c>
      <c r="U141">
        <v>60</v>
      </c>
      <c r="W141" s="30">
        <f t="shared" si="30"/>
        <v>0</v>
      </c>
    </row>
    <row r="142" spans="1:23" x14ac:dyDescent="0.2">
      <c r="Q142" t="s">
        <v>3</v>
      </c>
      <c r="T142">
        <v>70</v>
      </c>
      <c r="U142">
        <v>60</v>
      </c>
      <c r="W142" s="30">
        <f t="shared" si="30"/>
        <v>0</v>
      </c>
    </row>
    <row r="143" spans="1:23" x14ac:dyDescent="0.2">
      <c r="Q143" t="s">
        <v>3</v>
      </c>
      <c r="T143">
        <v>80</v>
      </c>
      <c r="U143">
        <v>60</v>
      </c>
      <c r="W143" s="30">
        <f t="shared" si="30"/>
        <v>0</v>
      </c>
    </row>
    <row r="144" spans="1:23" x14ac:dyDescent="0.2">
      <c r="Q144" t="s">
        <v>3</v>
      </c>
      <c r="T144">
        <v>90</v>
      </c>
      <c r="U144">
        <v>60</v>
      </c>
      <c r="W144" s="30">
        <f t="shared" si="30"/>
        <v>0</v>
      </c>
    </row>
    <row r="145" spans="8:8" ht="32.25" customHeight="1" x14ac:dyDescent="0.2">
      <c r="H145" s="37"/>
    </row>
  </sheetData>
  <dataValidations count="1">
    <dataValidation type="list" allowBlank="1" showInputMessage="1" showErrorMessage="1" sqref="C25">
      <formula1>"90,80,70,60"</formula1>
    </dataValidation>
  </dataValidations>
  <pageMargins left="0.78740157499999996" right="0.78740157499999996" top="0.56999999999999995" bottom="0.89" header="0.48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S44"/>
  <sheetViews>
    <sheetView topLeftCell="C7" workbookViewId="0">
      <selection activeCell="C27" sqref="C27"/>
    </sheetView>
  </sheetViews>
  <sheetFormatPr baseColWidth="10" defaultRowHeight="12.75" x14ac:dyDescent="0.2"/>
  <cols>
    <col min="1" max="1" width="7" customWidth="1"/>
    <col min="2" max="2" width="28.28515625" bestFit="1" customWidth="1"/>
    <col min="3" max="3" width="18.5703125" bestFit="1" customWidth="1"/>
    <col min="5" max="5" width="17.85546875" bestFit="1" customWidth="1"/>
    <col min="6" max="6" width="7.42578125" bestFit="1" customWidth="1"/>
    <col min="7" max="7" width="20.140625" bestFit="1" customWidth="1"/>
    <col min="8" max="8" width="17.85546875" bestFit="1" customWidth="1"/>
    <col min="9" max="9" width="25.5703125" bestFit="1" customWidth="1"/>
  </cols>
  <sheetData>
    <row r="1" spans="2:19" ht="13.5" thickBot="1" x14ac:dyDescent="0.25">
      <c r="E1" s="261" t="s">
        <v>56</v>
      </c>
      <c r="F1" s="262"/>
    </row>
    <row r="2" spans="2:19" x14ac:dyDescent="0.2">
      <c r="B2" t="s">
        <v>36</v>
      </c>
      <c r="C2" s="65" t="s">
        <v>56</v>
      </c>
      <c r="E2" s="53" t="s">
        <v>44</v>
      </c>
      <c r="F2" s="54"/>
      <c r="I2" s="72" t="s">
        <v>56</v>
      </c>
    </row>
    <row r="3" spans="2:19" x14ac:dyDescent="0.2">
      <c r="C3" s="41" t="s">
        <v>37</v>
      </c>
      <c r="E3" s="53" t="s">
        <v>58</v>
      </c>
      <c r="F3" s="54">
        <v>0.6</v>
      </c>
      <c r="I3" s="73" t="s">
        <v>44</v>
      </c>
    </row>
    <row r="4" spans="2:19" x14ac:dyDescent="0.2">
      <c r="C4" s="41" t="s">
        <v>38</v>
      </c>
      <c r="E4" s="53"/>
      <c r="F4" s="54"/>
      <c r="I4" s="73" t="s">
        <v>45</v>
      </c>
    </row>
    <row r="5" spans="2:19" x14ac:dyDescent="0.2">
      <c r="C5" s="41" t="s">
        <v>39</v>
      </c>
      <c r="E5" s="53" t="s">
        <v>45</v>
      </c>
      <c r="F5" s="54"/>
      <c r="I5" s="73" t="s">
        <v>46</v>
      </c>
    </row>
    <row r="6" spans="2:19" x14ac:dyDescent="0.2">
      <c r="C6" s="41" t="s">
        <v>40</v>
      </c>
      <c r="E6" s="53" t="s">
        <v>58</v>
      </c>
      <c r="F6" s="54">
        <v>0.6</v>
      </c>
      <c r="I6" s="73" t="s">
        <v>47</v>
      </c>
    </row>
    <row r="7" spans="2:19" x14ac:dyDescent="0.2">
      <c r="C7" s="41" t="s">
        <v>41</v>
      </c>
      <c r="E7" s="53" t="s">
        <v>59</v>
      </c>
      <c r="F7" s="54">
        <v>0.9</v>
      </c>
      <c r="I7" s="73" t="s">
        <v>48</v>
      </c>
    </row>
    <row r="8" spans="2:19" ht="13.5" thickBot="1" x14ac:dyDescent="0.25">
      <c r="C8" s="41" t="s">
        <v>42</v>
      </c>
      <c r="E8" s="53"/>
      <c r="F8" s="54"/>
      <c r="I8" s="74" t="s">
        <v>49</v>
      </c>
    </row>
    <row r="9" spans="2:19" ht="13.5" thickBot="1" x14ac:dyDescent="0.25">
      <c r="C9" s="41" t="s">
        <v>43</v>
      </c>
      <c r="E9" s="53" t="s">
        <v>46</v>
      </c>
      <c r="F9" s="54"/>
      <c r="P9" t="s">
        <v>158</v>
      </c>
      <c r="Q9" t="s">
        <v>158</v>
      </c>
      <c r="R9" t="s">
        <v>159</v>
      </c>
      <c r="S9" t="s">
        <v>159</v>
      </c>
    </row>
    <row r="10" spans="2:19" x14ac:dyDescent="0.2">
      <c r="C10" s="41" t="s">
        <v>90</v>
      </c>
      <c r="E10" s="53" t="s">
        <v>59</v>
      </c>
      <c r="F10" s="54">
        <v>1</v>
      </c>
      <c r="I10" s="51" t="s">
        <v>37</v>
      </c>
      <c r="J10" s="58"/>
      <c r="K10" s="58" t="s">
        <v>75</v>
      </c>
      <c r="L10" s="58"/>
      <c r="M10" s="258" t="s">
        <v>112</v>
      </c>
      <c r="N10" s="259"/>
      <c r="O10" s="259"/>
      <c r="P10" s="69" t="s">
        <v>79</v>
      </c>
      <c r="Q10" s="70" t="s">
        <v>88</v>
      </c>
      <c r="R10" s="95" t="s">
        <v>79</v>
      </c>
      <c r="S10" s="95" t="s">
        <v>157</v>
      </c>
    </row>
    <row r="11" spans="2:19" x14ac:dyDescent="0.2">
      <c r="E11" s="53" t="s">
        <v>54</v>
      </c>
      <c r="F11" s="54">
        <v>1.3</v>
      </c>
      <c r="I11" s="68" t="s">
        <v>80</v>
      </c>
      <c r="J11" s="59"/>
      <c r="K11" s="75" t="s">
        <v>87</v>
      </c>
      <c r="L11" s="59"/>
      <c r="M11" s="260" t="s">
        <v>77</v>
      </c>
      <c r="N11" s="260"/>
      <c r="O11" s="260"/>
      <c r="P11" s="59">
        <v>64</v>
      </c>
      <c r="Q11" s="54">
        <v>72</v>
      </c>
      <c r="R11" s="94">
        <f t="shared" ref="R11:S16" si="0">+P11*(60-Tef)/(55-Tef)</f>
        <v>71.111111111111114</v>
      </c>
      <c r="S11" s="94">
        <f t="shared" si="0"/>
        <v>80</v>
      </c>
    </row>
    <row r="12" spans="2:19" x14ac:dyDescent="0.2">
      <c r="E12" s="53"/>
      <c r="F12" s="54"/>
      <c r="I12" s="76" t="s">
        <v>81</v>
      </c>
      <c r="J12" s="59"/>
      <c r="K12" s="75" t="s">
        <v>76</v>
      </c>
      <c r="L12" s="59"/>
      <c r="M12" s="79">
        <v>1</v>
      </c>
      <c r="N12" s="79" t="s">
        <v>78</v>
      </c>
      <c r="O12" s="79"/>
      <c r="P12" s="59">
        <v>74</v>
      </c>
      <c r="Q12" s="54">
        <v>82</v>
      </c>
      <c r="R12" s="94">
        <f t="shared" si="0"/>
        <v>82.222222222222229</v>
      </c>
      <c r="S12" s="94">
        <f t="shared" si="0"/>
        <v>91.111111111111114</v>
      </c>
    </row>
    <row r="13" spans="2:19" x14ac:dyDescent="0.2">
      <c r="B13" s="63" t="s">
        <v>113</v>
      </c>
      <c r="C13" s="65" t="s">
        <v>97</v>
      </c>
      <c r="E13" s="53" t="s">
        <v>47</v>
      </c>
      <c r="F13" s="54"/>
      <c r="I13" s="76" t="s">
        <v>82</v>
      </c>
      <c r="J13" s="59"/>
      <c r="K13" s="59"/>
      <c r="L13" s="59"/>
      <c r="M13" s="59"/>
      <c r="N13" s="59"/>
      <c r="O13" s="59"/>
      <c r="P13" s="59">
        <v>104</v>
      </c>
      <c r="Q13" s="54">
        <v>116</v>
      </c>
      <c r="R13" s="94">
        <f t="shared" si="0"/>
        <v>115.55555555555556</v>
      </c>
      <c r="S13" s="94">
        <f t="shared" si="0"/>
        <v>128.88888888888889</v>
      </c>
    </row>
    <row r="14" spans="2:19" x14ac:dyDescent="0.2">
      <c r="C14" s="41">
        <v>60</v>
      </c>
      <c r="E14" s="53" t="s">
        <v>59</v>
      </c>
      <c r="F14" s="54">
        <v>1</v>
      </c>
      <c r="I14" s="76" t="s">
        <v>83</v>
      </c>
      <c r="J14" s="59"/>
      <c r="K14" s="59"/>
      <c r="L14" s="59"/>
      <c r="M14" s="59"/>
      <c r="N14" s="59"/>
      <c r="O14" s="59"/>
      <c r="P14" s="59">
        <v>124</v>
      </c>
      <c r="Q14" s="54">
        <v>139</v>
      </c>
      <c r="R14" s="94">
        <f t="shared" si="0"/>
        <v>137.77777777777777</v>
      </c>
      <c r="S14" s="94">
        <f t="shared" si="0"/>
        <v>154.44444444444446</v>
      </c>
    </row>
    <row r="15" spans="2:19" x14ac:dyDescent="0.2">
      <c r="C15" s="41">
        <v>55</v>
      </c>
      <c r="E15" s="53" t="s">
        <v>54</v>
      </c>
      <c r="F15" s="54">
        <v>1.3</v>
      </c>
      <c r="I15" s="76" t="s">
        <v>84</v>
      </c>
      <c r="J15" s="59"/>
      <c r="K15" s="59"/>
      <c r="L15" s="59"/>
      <c r="M15" s="59"/>
      <c r="N15" s="59"/>
      <c r="O15" s="59"/>
      <c r="P15" s="59">
        <v>154</v>
      </c>
      <c r="Q15" s="54">
        <v>174</v>
      </c>
      <c r="R15" s="94">
        <f t="shared" si="0"/>
        <v>171.11111111111111</v>
      </c>
      <c r="S15" s="94">
        <f t="shared" si="0"/>
        <v>193.33333333333334</v>
      </c>
    </row>
    <row r="16" spans="2:19" ht="13.5" thickBot="1" x14ac:dyDescent="0.25">
      <c r="E16" s="53"/>
      <c r="F16" s="54"/>
      <c r="I16" s="77" t="s">
        <v>85</v>
      </c>
      <c r="J16" s="57"/>
      <c r="K16" s="57"/>
      <c r="L16" s="57"/>
      <c r="M16" s="57"/>
      <c r="N16" s="57"/>
      <c r="O16" s="57"/>
      <c r="P16" s="57">
        <v>184</v>
      </c>
      <c r="Q16" s="56">
        <v>204</v>
      </c>
      <c r="R16" s="94">
        <f t="shared" si="0"/>
        <v>204.44444444444446</v>
      </c>
      <c r="S16" s="94">
        <f t="shared" si="0"/>
        <v>226.66666666666666</v>
      </c>
    </row>
    <row r="17" spans="2:18" ht="13.5" thickBot="1" x14ac:dyDescent="0.25">
      <c r="B17" s="65" t="s">
        <v>95</v>
      </c>
      <c r="C17" s="41">
        <v>1</v>
      </c>
      <c r="E17" s="53" t="s">
        <v>48</v>
      </c>
      <c r="F17" s="54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2:18" x14ac:dyDescent="0.2">
      <c r="B18" s="71" t="s">
        <v>96</v>
      </c>
      <c r="C18" s="65">
        <f>1.163*10^-3</f>
        <v>1.163E-3</v>
      </c>
      <c r="E18" s="53" t="s">
        <v>59</v>
      </c>
      <c r="F18" s="54">
        <v>1.2</v>
      </c>
      <c r="I18" s="51" t="s">
        <v>41</v>
      </c>
      <c r="J18" s="58" t="s">
        <v>158</v>
      </c>
      <c r="K18" s="58" t="s">
        <v>159</v>
      </c>
      <c r="L18" s="58"/>
      <c r="M18" s="58"/>
      <c r="N18" s="58"/>
      <c r="O18" s="52"/>
      <c r="P18" s="59"/>
      <c r="Q18" s="59"/>
      <c r="R18" s="59"/>
    </row>
    <row r="19" spans="2:18" x14ac:dyDescent="0.2">
      <c r="B19" s="71" t="s">
        <v>99</v>
      </c>
      <c r="C19" s="41">
        <v>10</v>
      </c>
      <c r="E19" s="53" t="s">
        <v>54</v>
      </c>
      <c r="F19" s="54">
        <v>1.3</v>
      </c>
      <c r="I19" s="53" t="s">
        <v>50</v>
      </c>
      <c r="J19" s="59">
        <v>40</v>
      </c>
      <c r="K19" s="94">
        <f>+J19*((60-Tef)/(55-Tef))</f>
        <v>44.444444444444443</v>
      </c>
      <c r="L19" s="59"/>
      <c r="M19" s="263" t="s">
        <v>112</v>
      </c>
      <c r="N19" s="260"/>
      <c r="O19" s="264"/>
      <c r="P19" s="59"/>
      <c r="Q19" s="59"/>
      <c r="R19" s="59"/>
    </row>
    <row r="20" spans="2:18" x14ac:dyDescent="0.2">
      <c r="E20" s="53" t="s">
        <v>55</v>
      </c>
      <c r="F20" s="54">
        <v>1.5</v>
      </c>
      <c r="I20" s="53" t="s">
        <v>51</v>
      </c>
      <c r="J20" s="59">
        <v>50</v>
      </c>
      <c r="K20" s="94">
        <f>+J20*((60-Tef)/(55-Tef))</f>
        <v>55.555555555555557</v>
      </c>
      <c r="L20" s="59"/>
      <c r="M20" s="263" t="s">
        <v>111</v>
      </c>
      <c r="N20" s="260"/>
      <c r="O20" s="264"/>
      <c r="P20" s="59"/>
      <c r="Q20" s="59"/>
      <c r="R20" s="59"/>
    </row>
    <row r="21" spans="2:18" ht="13.5" thickBot="1" x14ac:dyDescent="0.25">
      <c r="B21" s="63" t="s">
        <v>124</v>
      </c>
      <c r="C21">
        <v>80</v>
      </c>
      <c r="E21" s="53"/>
      <c r="F21" s="54"/>
      <c r="I21" s="55" t="s">
        <v>52</v>
      </c>
      <c r="J21" s="57">
        <v>60</v>
      </c>
      <c r="K21" s="94">
        <f>+J21*((60-Tef)/(55-Tef))</f>
        <v>66.666666666666671</v>
      </c>
      <c r="L21" s="57"/>
      <c r="M21" s="80">
        <v>1</v>
      </c>
      <c r="N21" s="80" t="s">
        <v>78</v>
      </c>
      <c r="O21" s="81"/>
      <c r="P21" s="59"/>
      <c r="Q21" s="59"/>
      <c r="R21" s="59"/>
    </row>
    <row r="22" spans="2:18" ht="13.5" thickBot="1" x14ac:dyDescent="0.25">
      <c r="C22">
        <v>70</v>
      </c>
      <c r="E22" s="53" t="s">
        <v>49</v>
      </c>
      <c r="F22" s="54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2:18" x14ac:dyDescent="0.2">
      <c r="C23">
        <v>60</v>
      </c>
      <c r="E23" s="53" t="s">
        <v>59</v>
      </c>
      <c r="F23" s="54">
        <v>1.2</v>
      </c>
      <c r="I23" s="67" t="s">
        <v>38</v>
      </c>
      <c r="J23" s="58"/>
      <c r="K23" s="58"/>
      <c r="L23" s="58"/>
      <c r="M23" s="258" t="s">
        <v>112</v>
      </c>
      <c r="N23" s="259"/>
      <c r="O23" s="259"/>
      <c r="P23" s="52" t="s">
        <v>158</v>
      </c>
      <c r="Q23" s="59" t="s">
        <v>159</v>
      </c>
      <c r="R23" s="59"/>
    </row>
    <row r="24" spans="2:18" x14ac:dyDescent="0.2">
      <c r="E24" s="53" t="s">
        <v>54</v>
      </c>
      <c r="F24" s="54">
        <v>1.3</v>
      </c>
      <c r="I24" s="68" t="s">
        <v>180</v>
      </c>
      <c r="J24" s="59"/>
      <c r="K24" s="59"/>
      <c r="L24" s="59"/>
      <c r="M24" s="260" t="s">
        <v>77</v>
      </c>
      <c r="N24" s="260"/>
      <c r="O24" s="260"/>
      <c r="P24" s="54">
        <v>50</v>
      </c>
      <c r="Q24" s="94">
        <f>+P24*((60-Tef)/(55-Tef))</f>
        <v>55.555555555555557</v>
      </c>
      <c r="R24" s="59"/>
    </row>
    <row r="25" spans="2:18" ht="13.5" thickBot="1" x14ac:dyDescent="0.25">
      <c r="B25" t="s">
        <v>145</v>
      </c>
      <c r="C25">
        <v>21</v>
      </c>
      <c r="E25" s="55" t="s">
        <v>55</v>
      </c>
      <c r="F25" s="56">
        <v>1.5</v>
      </c>
      <c r="I25" s="55"/>
      <c r="J25" s="57"/>
      <c r="K25" s="57"/>
      <c r="L25" s="57"/>
      <c r="M25" s="80">
        <v>1</v>
      </c>
      <c r="N25" s="80" t="s">
        <v>78</v>
      </c>
      <c r="O25" s="80"/>
      <c r="P25" s="56"/>
      <c r="Q25" s="59"/>
      <c r="R25" s="59"/>
    </row>
    <row r="26" spans="2:18" ht="13.5" thickBot="1" x14ac:dyDescent="0.25"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2:18" ht="13.5" thickBot="1" x14ac:dyDescent="0.25">
      <c r="E27" s="60" t="s">
        <v>73</v>
      </c>
      <c r="F27" s="61">
        <v>120</v>
      </c>
      <c r="G27" s="62" t="s">
        <v>74</v>
      </c>
      <c r="I27" s="67" t="s">
        <v>39</v>
      </c>
      <c r="J27" s="58" t="s">
        <v>158</v>
      </c>
      <c r="K27" s="58" t="s">
        <v>159</v>
      </c>
      <c r="L27" s="58"/>
      <c r="M27" s="258" t="s">
        <v>112</v>
      </c>
      <c r="N27" s="259"/>
      <c r="O27" s="259"/>
      <c r="P27" s="52"/>
      <c r="Q27" s="59"/>
      <c r="R27" s="59"/>
    </row>
    <row r="28" spans="2:18" x14ac:dyDescent="0.2">
      <c r="I28" s="76" t="s">
        <v>181</v>
      </c>
      <c r="J28" s="59">
        <v>82</v>
      </c>
      <c r="K28" s="94">
        <f>+J28*((60-Tef)/(55-Tef))</f>
        <v>91.111111111111114</v>
      </c>
      <c r="L28" s="59"/>
      <c r="M28" s="260" t="s">
        <v>77</v>
      </c>
      <c r="N28" s="260"/>
      <c r="O28" s="260"/>
      <c r="P28" s="54"/>
    </row>
    <row r="29" spans="2:18" ht="13.5" thickBot="1" x14ac:dyDescent="0.25">
      <c r="I29" s="55"/>
      <c r="J29" s="57"/>
      <c r="K29" s="57"/>
      <c r="L29" s="57"/>
      <c r="M29" s="80">
        <v>1</v>
      </c>
      <c r="N29" s="80" t="s">
        <v>78</v>
      </c>
      <c r="O29" s="80"/>
      <c r="P29" s="56"/>
    </row>
    <row r="30" spans="2:18" ht="13.5" thickBot="1" x14ac:dyDescent="0.25"/>
    <row r="31" spans="2:18" x14ac:dyDescent="0.2">
      <c r="I31" s="67" t="s">
        <v>40</v>
      </c>
      <c r="J31" s="58" t="s">
        <v>158</v>
      </c>
      <c r="K31" s="58" t="s">
        <v>159</v>
      </c>
      <c r="L31" s="58"/>
      <c r="M31" s="58"/>
      <c r="N31" s="58"/>
      <c r="O31" s="58"/>
      <c r="P31" s="52"/>
    </row>
    <row r="32" spans="2:18" ht="13.5" thickBot="1" x14ac:dyDescent="0.25">
      <c r="C32" s="41" t="s">
        <v>20</v>
      </c>
      <c r="D32" s="41" t="s">
        <v>53</v>
      </c>
      <c r="E32" s="41" t="s">
        <v>62</v>
      </c>
      <c r="F32" s="41" t="s">
        <v>60</v>
      </c>
      <c r="G32" s="41" t="s">
        <v>61</v>
      </c>
      <c r="I32" s="78" t="s">
        <v>110</v>
      </c>
      <c r="J32" s="57">
        <v>60</v>
      </c>
      <c r="K32" s="94">
        <f>+J32*((60-Tef)/(55-Tef))</f>
        <v>66.666666666666671</v>
      </c>
      <c r="L32" s="57"/>
      <c r="M32" s="57"/>
      <c r="N32" s="57"/>
      <c r="O32" s="57"/>
      <c r="P32" s="56"/>
    </row>
    <row r="33" spans="2:16" ht="13.5" thickBot="1" x14ac:dyDescent="0.25">
      <c r="B33" s="41" t="s">
        <v>57</v>
      </c>
      <c r="C33" s="41" t="str">
        <f>'Tool ECS'!B11</f>
        <v>T1</v>
      </c>
      <c r="D33" s="41" t="str">
        <f>IF('Tool ECS'!$C$8="collectif",'Tool ECS'!D11," ")</f>
        <v>Douche</v>
      </c>
      <c r="E33" s="41">
        <f>IF('Tool ECS'!$C$8="collectif",VLOOKUP(Calculs!D33,'Consommation journalière'!A2:D8,2,FALSE)," ")</f>
        <v>0.6</v>
      </c>
      <c r="F33" s="41">
        <f>+'Tool ECS'!F11</f>
        <v>20</v>
      </c>
      <c r="G33" s="41">
        <f>IFERROR(+E33*F33,0)</f>
        <v>12</v>
      </c>
    </row>
    <row r="34" spans="2:16" x14ac:dyDescent="0.2">
      <c r="C34" s="41" t="str">
        <f>'Tool ECS'!B13</f>
        <v>T2</v>
      </c>
      <c r="D34" s="41" t="str">
        <f>IF('Tool ECS'!$C$8="collectif",'Tool ECS'!D13," ")</f>
        <v>Douche</v>
      </c>
      <c r="E34" s="41">
        <f>IF('Tool ECS'!$C$8="collectif",VLOOKUP(D34,'Consommation journalière'!F2:I8,2,FALSE)," ")</f>
        <v>0.6</v>
      </c>
      <c r="F34" s="41">
        <f>+'Tool ECS'!F13</f>
        <v>14</v>
      </c>
      <c r="G34" s="41">
        <f t="shared" ref="G34:G38" si="1">IFERROR(+E34*F34,0)</f>
        <v>8.4</v>
      </c>
      <c r="I34" s="67" t="s">
        <v>90</v>
      </c>
      <c r="J34" s="58" t="s">
        <v>158</v>
      </c>
      <c r="K34" s="58" t="s">
        <v>159</v>
      </c>
      <c r="L34" s="58"/>
      <c r="M34" s="58"/>
      <c r="N34" s="58"/>
      <c r="O34" s="58"/>
      <c r="P34" s="52"/>
    </row>
    <row r="35" spans="2:16" x14ac:dyDescent="0.2">
      <c r="C35" s="41" t="str">
        <f>'Tool ECS'!B15</f>
        <v>T3</v>
      </c>
      <c r="D35" s="41" t="str">
        <f>IF('Tool ECS'!$C$8="collectif",'Tool ECS'!D15," ")</f>
        <v>Baignoire</v>
      </c>
      <c r="E35" s="41">
        <f>IF('Tool ECS'!$C$8="collectif",VLOOKUP(Calculs!D35,'Consommation journalière'!K2:N8,2,FALSE)," ")</f>
        <v>1</v>
      </c>
      <c r="F35" s="41">
        <f>+'Tool ECS'!F15</f>
        <v>2</v>
      </c>
      <c r="G35" s="41">
        <f t="shared" si="1"/>
        <v>2</v>
      </c>
      <c r="I35" s="68" t="s">
        <v>114</v>
      </c>
      <c r="J35" s="59">
        <v>12</v>
      </c>
      <c r="K35" s="94">
        <f>+J35*((60-Tef)/(55-Tef))</f>
        <v>13.333333333333334</v>
      </c>
      <c r="L35" s="59"/>
      <c r="M35" s="59"/>
      <c r="N35" s="82" t="s">
        <v>118</v>
      </c>
      <c r="O35" s="79"/>
      <c r="P35" s="83"/>
    </row>
    <row r="36" spans="2:16" x14ac:dyDescent="0.2">
      <c r="C36" s="41" t="str">
        <f>'Tool ECS'!B17</f>
        <v>T3</v>
      </c>
      <c r="D36" s="41" t="str">
        <f>IF('Tool ECS'!$C$8="collectif",'Tool ECS'!D17," ")</f>
        <v>Baignoire</v>
      </c>
      <c r="E36" s="41">
        <f>IF('Tool ECS'!$C$8="collectif",VLOOKUP(Calculs!D36,'Consommation journalière'!P2:S8,2,FALSE)," ")</f>
        <v>1</v>
      </c>
      <c r="F36" s="41">
        <f>+'Tool ECS'!F17</f>
        <v>3</v>
      </c>
      <c r="G36" s="41">
        <f t="shared" si="1"/>
        <v>3</v>
      </c>
      <c r="I36" s="68" t="s">
        <v>115</v>
      </c>
      <c r="J36" s="59">
        <v>20</v>
      </c>
      <c r="K36" s="94">
        <f>+J36*((60-Tef)/(55-Tef))</f>
        <v>22.222222222222221</v>
      </c>
      <c r="L36" s="59"/>
      <c r="M36" s="59"/>
      <c r="N36" s="59"/>
      <c r="O36" s="59"/>
      <c r="P36" s="54"/>
    </row>
    <row r="37" spans="2:16" x14ac:dyDescent="0.2">
      <c r="C37" s="41" t="str">
        <f>'Tool ECS'!B19</f>
        <v>T3</v>
      </c>
      <c r="D37" s="41" t="str">
        <f>IF('Tool ECS'!$C$8="collectif",'Tool ECS'!D19," ")</f>
        <v>Baignoire</v>
      </c>
      <c r="E37" s="41">
        <f>IF('Tool ECS'!$C$8="collectif",VLOOKUP(Calculs!D37,'Consommation journalière'!U2:X8,2,FALSE)," ")</f>
        <v>1</v>
      </c>
      <c r="F37" s="41">
        <f>+'Tool ECS'!F19</f>
        <v>3</v>
      </c>
      <c r="G37" s="41">
        <f t="shared" si="1"/>
        <v>3</v>
      </c>
      <c r="I37" s="68" t="s">
        <v>116</v>
      </c>
      <c r="J37" s="59">
        <v>6</v>
      </c>
      <c r="K37" s="94">
        <f>+J37*((60-Tef)/(55-Tef))</f>
        <v>6.666666666666667</v>
      </c>
      <c r="L37" s="59"/>
      <c r="M37" s="59"/>
      <c r="N37" s="59"/>
      <c r="O37" s="59"/>
      <c r="P37" s="54"/>
    </row>
    <row r="38" spans="2:16" ht="13.5" thickBot="1" x14ac:dyDescent="0.25">
      <c r="C38" s="41" t="str">
        <f>'Tool ECS'!B21</f>
        <v>T3</v>
      </c>
      <c r="D38" s="41" t="str">
        <f>IF('Tool ECS'!$C$8="collectif",'Tool ECS'!D21," ")</f>
        <v>Baignoire</v>
      </c>
      <c r="E38" s="41">
        <f>IF('Tool ECS'!$C$8="collectif",VLOOKUP(Calculs!D38,'Consommation journalière'!Z2:AC8,2,FALSE)," ")</f>
        <v>1</v>
      </c>
      <c r="F38" s="41">
        <f>+'Tool ECS'!F21</f>
        <v>3</v>
      </c>
      <c r="G38" s="41">
        <f t="shared" si="1"/>
        <v>3</v>
      </c>
      <c r="I38" s="78" t="s">
        <v>117</v>
      </c>
      <c r="J38" s="57">
        <v>5</v>
      </c>
      <c r="K38" s="94">
        <f>+J38*((60-Tef)/(55-Tef))</f>
        <v>5.5555555555555554</v>
      </c>
      <c r="L38" s="57"/>
      <c r="M38" s="57"/>
      <c r="N38" s="57"/>
      <c r="O38" s="57"/>
      <c r="P38" s="56"/>
    </row>
    <row r="39" spans="2:16" ht="13.5" thickBot="1" x14ac:dyDescent="0.25"/>
    <row r="40" spans="2:16" x14ac:dyDescent="0.2">
      <c r="I40" s="67" t="s">
        <v>119</v>
      </c>
      <c r="J40" s="58" t="s">
        <v>158</v>
      </c>
      <c r="K40" s="58" t="s">
        <v>159</v>
      </c>
      <c r="L40" s="58"/>
      <c r="M40" s="58"/>
      <c r="N40" s="58" t="s">
        <v>122</v>
      </c>
      <c r="O40" s="58"/>
      <c r="P40" s="52"/>
    </row>
    <row r="41" spans="2:16" ht="13.5" thickBot="1" x14ac:dyDescent="0.25">
      <c r="I41" s="78" t="s">
        <v>120</v>
      </c>
      <c r="J41" s="57">
        <v>20</v>
      </c>
      <c r="K41" s="94">
        <f>+J41*((60-Tef)/(55-Tef))</f>
        <v>22.222222222222221</v>
      </c>
      <c r="L41" s="57"/>
      <c r="M41" s="57"/>
      <c r="N41" s="57"/>
      <c r="O41" s="57"/>
      <c r="P41" s="56"/>
    </row>
    <row r="42" spans="2:16" ht="13.5" thickBot="1" x14ac:dyDescent="0.25"/>
    <row r="43" spans="2:16" x14ac:dyDescent="0.2">
      <c r="I43" s="51" t="s">
        <v>42</v>
      </c>
      <c r="J43" s="58" t="s">
        <v>158</v>
      </c>
      <c r="K43" s="58" t="s">
        <v>159</v>
      </c>
      <c r="L43" s="58"/>
      <c r="M43" s="58"/>
      <c r="N43" s="58" t="s">
        <v>121</v>
      </c>
      <c r="O43" s="58"/>
      <c r="P43" s="52"/>
    </row>
    <row r="44" spans="2:16" ht="13.5" thickBot="1" x14ac:dyDescent="0.25">
      <c r="I44" s="77" t="s">
        <v>172</v>
      </c>
      <c r="J44" s="57">
        <v>25</v>
      </c>
      <c r="K44" s="94">
        <f>+J44*((60-Tef)/(55-Tef))</f>
        <v>27.777777777777779</v>
      </c>
      <c r="L44" s="57"/>
      <c r="M44" s="57"/>
      <c r="N44" s="57"/>
      <c r="O44" s="57"/>
      <c r="P44" s="56"/>
    </row>
  </sheetData>
  <mergeCells count="9">
    <mergeCell ref="M27:O27"/>
    <mergeCell ref="M28:O28"/>
    <mergeCell ref="E1:F1"/>
    <mergeCell ref="M10:O10"/>
    <mergeCell ref="M11:O11"/>
    <mergeCell ref="M23:O23"/>
    <mergeCell ref="M24:O24"/>
    <mergeCell ref="M19:O19"/>
    <mergeCell ref="M20:O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G41"/>
  <sheetViews>
    <sheetView zoomScale="85" zoomScaleNormal="85" workbookViewId="0">
      <selection activeCell="B4" sqref="B4:F4"/>
    </sheetView>
  </sheetViews>
  <sheetFormatPr baseColWidth="10" defaultRowHeight="12.75" x14ac:dyDescent="0.2"/>
  <cols>
    <col min="1" max="1" width="12.42578125" customWidth="1"/>
    <col min="2" max="2" width="7.5703125" style="2" customWidth="1"/>
    <col min="3" max="3" width="7.42578125" bestFit="1" customWidth="1"/>
    <col min="4" max="4" width="9.42578125" bestFit="1" customWidth="1"/>
    <col min="5" max="5" width="3.85546875" customWidth="1"/>
    <col min="6" max="6" width="17.85546875" bestFit="1" customWidth="1"/>
    <col min="7" max="7" width="4" bestFit="1" customWidth="1"/>
    <col min="8" max="8" width="7.42578125" bestFit="1" customWidth="1"/>
    <col min="9" max="9" width="9.42578125" bestFit="1" customWidth="1"/>
    <col min="10" max="10" width="3.85546875" customWidth="1"/>
    <col min="11" max="11" width="17.85546875" bestFit="1" customWidth="1"/>
    <col min="12" max="12" width="4" bestFit="1" customWidth="1"/>
    <col min="13" max="13" width="7.42578125" bestFit="1" customWidth="1"/>
    <col min="14" max="14" width="8.28515625" bestFit="1" customWidth="1"/>
    <col min="15" max="15" width="4.7109375" customWidth="1"/>
    <col min="16" max="16" width="17.85546875" bestFit="1" customWidth="1"/>
    <col min="18" max="18" width="7.42578125" bestFit="1" customWidth="1"/>
    <col min="19" max="19" width="10" bestFit="1" customWidth="1"/>
    <col min="20" max="20" width="4.42578125" customWidth="1"/>
    <col min="23" max="23" width="7.42578125" bestFit="1" customWidth="1"/>
    <col min="24" max="24" width="8.85546875" bestFit="1" customWidth="1"/>
    <col min="25" max="25" width="5.140625" bestFit="1" customWidth="1"/>
    <col min="26" max="26" width="17.85546875" bestFit="1" customWidth="1"/>
    <col min="27" max="27" width="9.85546875" bestFit="1" customWidth="1"/>
    <col min="28" max="28" width="7.42578125" bestFit="1" customWidth="1"/>
    <col min="29" max="29" width="9.42578125" bestFit="1" customWidth="1"/>
    <col min="31" max="31" width="25.5703125" bestFit="1" customWidth="1"/>
    <col min="32" max="32" width="9.85546875" bestFit="1" customWidth="1"/>
    <col min="34" max="34" width="9.28515625" bestFit="1" customWidth="1"/>
    <col min="35" max="35" width="8.42578125" bestFit="1" customWidth="1"/>
  </cols>
  <sheetData>
    <row r="1" spans="1:33" x14ac:dyDescent="0.2">
      <c r="A1" s="265" t="s">
        <v>63</v>
      </c>
      <c r="B1" s="266"/>
      <c r="C1" s="42" t="s">
        <v>60</v>
      </c>
      <c r="D1" s="43" t="s">
        <v>65</v>
      </c>
      <c r="F1" s="265" t="s">
        <v>64</v>
      </c>
      <c r="G1" s="266"/>
      <c r="H1" s="42" t="s">
        <v>60</v>
      </c>
      <c r="I1" s="43" t="s">
        <v>65</v>
      </c>
      <c r="K1" s="265" t="s">
        <v>66</v>
      </c>
      <c r="L1" s="266"/>
      <c r="M1" s="42" t="s">
        <v>60</v>
      </c>
      <c r="N1" s="43" t="s">
        <v>65</v>
      </c>
      <c r="P1" s="265" t="s">
        <v>67</v>
      </c>
      <c r="Q1" s="266"/>
      <c r="R1" s="42" t="s">
        <v>60</v>
      </c>
      <c r="S1" s="43" t="s">
        <v>65</v>
      </c>
      <c r="U1" s="265" t="s">
        <v>68</v>
      </c>
      <c r="V1" s="266"/>
      <c r="W1" s="42" t="s">
        <v>60</v>
      </c>
      <c r="X1" s="43" t="s">
        <v>65</v>
      </c>
      <c r="Z1" s="265" t="s">
        <v>69</v>
      </c>
      <c r="AA1" s="266"/>
      <c r="AB1" s="42" t="s">
        <v>60</v>
      </c>
      <c r="AC1" s="43" t="s">
        <v>65</v>
      </c>
    </row>
    <row r="2" spans="1:33" x14ac:dyDescent="0.2">
      <c r="A2" s="44" t="str">
        <f>IF('Tool ECS'!B11="T1","Douche",IF('Tool ECS'!B11="T2","Douche"," "))</f>
        <v>Douche</v>
      </c>
      <c r="B2" s="96">
        <v>0.6</v>
      </c>
      <c r="C2" s="41">
        <f>IFERROR(VLOOKUP(A2,'Tool ECS'!$D$11:$F$11,3,FALSE),0)</f>
        <v>20</v>
      </c>
      <c r="D2" s="45">
        <f>+B2*C2</f>
        <v>12</v>
      </c>
      <c r="F2" s="44" t="str">
        <f>IF('Tool ECS'!B13="T1","Douche",IF('Tool ECS'!B13="T2","Douche"," "))</f>
        <v>Douche</v>
      </c>
      <c r="G2" s="41">
        <v>0.6</v>
      </c>
      <c r="H2" s="41">
        <f>IFERROR(VLOOKUP(F2,'Tool ECS'!$D$13:$F$13,3,FALSE),0)</f>
        <v>14</v>
      </c>
      <c r="I2" s="45">
        <f>+G2*H2</f>
        <v>8.4</v>
      </c>
      <c r="K2" s="44" t="str">
        <f>IF('Tool ECS'!B15="T1","Douche",IF('Tool ECS'!B15="T2","Douche"," "))</f>
        <v xml:space="preserve"> </v>
      </c>
      <c r="L2" s="41">
        <v>0.6</v>
      </c>
      <c r="M2" s="41">
        <f>IFERROR(VLOOKUP(K2,'Tool ECS'!$D$15:$F$15,3,FALSE),0)</f>
        <v>0</v>
      </c>
      <c r="N2" s="45">
        <f>+L2*M2</f>
        <v>0</v>
      </c>
      <c r="P2" s="44" t="str">
        <f>IF('Tool ECS'!B17="T1","Douche",IF('Tool ECS'!B17="T2","Douche"," "))</f>
        <v xml:space="preserve"> </v>
      </c>
      <c r="Q2" s="41">
        <v>0.6</v>
      </c>
      <c r="R2" s="41">
        <f>IFERROR(VLOOKUP(P2,'Tool ECS'!$D$17:$F$17,3,FALSE),0)</f>
        <v>0</v>
      </c>
      <c r="S2" s="45">
        <f>+Q2*R2</f>
        <v>0</v>
      </c>
      <c r="U2" s="44" t="str">
        <f>IF('Tool ECS'!B19="T1","Douche",IF('Tool ECS'!B19="T2","Douche"," "))</f>
        <v xml:space="preserve"> </v>
      </c>
      <c r="V2" s="41">
        <v>0.6</v>
      </c>
      <c r="W2" s="41">
        <f>IFERROR(VLOOKUP(U2,'Tool ECS'!$D$19:$F$19,3,FALSE),0)</f>
        <v>0</v>
      </c>
      <c r="X2" s="45">
        <f>+V2*W2</f>
        <v>0</v>
      </c>
      <c r="Z2" s="44" t="str">
        <f>IF('Tool ECS'!B21="T1","Douche",IF('Tool ECS'!B21="T2",Douche," "))</f>
        <v xml:space="preserve"> </v>
      </c>
      <c r="AA2" s="41">
        <v>0.6</v>
      </c>
      <c r="AB2" s="41">
        <f>IFERROR(VLOOKUP(Z2,'Tool ECS'!$D$21:$F$21,3,FALSE),0)</f>
        <v>0</v>
      </c>
      <c r="AC2" s="45">
        <f>+AA2*AB2</f>
        <v>0</v>
      </c>
      <c r="AE2" t="s">
        <v>71</v>
      </c>
      <c r="AF2">
        <v>120</v>
      </c>
      <c r="AG2" s="2">
        <f>+AF2*(60-Tef)/(55-Tef)</f>
        <v>133.33333333333334</v>
      </c>
    </row>
    <row r="3" spans="1:33" x14ac:dyDescent="0.2">
      <c r="A3" s="44" t="str">
        <f>IF('Tool ECS'!B11="T2","Baignoire"," ")</f>
        <v xml:space="preserve"> </v>
      </c>
      <c r="B3" s="96">
        <v>0.9</v>
      </c>
      <c r="C3" s="41">
        <f>IFERROR(VLOOKUP(A3,'Tool ECS'!$D$11:$F$11,3,FALSE),0)</f>
        <v>0</v>
      </c>
      <c r="D3" s="45">
        <f t="shared" ref="D3:D8" si="0">+B3*C3</f>
        <v>0</v>
      </c>
      <c r="F3" s="44" t="str">
        <f>IF('Tool ECS'!B13="T2","Baignoire"," ")</f>
        <v>Baignoire</v>
      </c>
      <c r="G3" s="41">
        <v>0.9</v>
      </c>
      <c r="H3" s="41">
        <f>IFERROR(VLOOKUP(F3,'Tool ECS'!$D$13:$F$13,3,FALSE),0)</f>
        <v>0</v>
      </c>
      <c r="I3" s="45">
        <f t="shared" ref="I3:I8" si="1">+G3*H3</f>
        <v>0</v>
      </c>
      <c r="K3" s="44" t="str">
        <f>IF('Tool ECS'!B15="T2","Baignoire"," ")</f>
        <v xml:space="preserve"> </v>
      </c>
      <c r="L3" s="41">
        <v>0.9</v>
      </c>
      <c r="M3" s="41">
        <f>IFERROR(VLOOKUP(K3,'Tool ECS'!$D$15:$F$15,3,FALSE),0)</f>
        <v>0</v>
      </c>
      <c r="N3" s="45">
        <f t="shared" ref="N3:N8" si="2">+L3*M3</f>
        <v>0</v>
      </c>
      <c r="P3" s="44" t="str">
        <f>IF('Tool ECS'!B17="T2","Baignoire"," ")</f>
        <v xml:space="preserve"> </v>
      </c>
      <c r="Q3" s="41">
        <v>0.9</v>
      </c>
      <c r="R3" s="41">
        <f>IFERROR(VLOOKUP(P3,'Tool ECS'!$D$17:$F$17,3,FALSE),0)</f>
        <v>0</v>
      </c>
      <c r="S3" s="45">
        <f t="shared" ref="S3:S8" si="3">+Q3*R3</f>
        <v>0</v>
      </c>
      <c r="U3" s="44" t="str">
        <f>IF('Tool ECS'!B19="T2","Baignoire"," ")</f>
        <v xml:space="preserve"> </v>
      </c>
      <c r="V3" s="41">
        <v>0.9</v>
      </c>
      <c r="W3" s="41">
        <f>IFERROR(VLOOKUP(U3,'Tool ECS'!$D$19:$F$19,3,FALSE),0)</f>
        <v>0</v>
      </c>
      <c r="X3" s="45">
        <f t="shared" ref="X3:X8" si="4">+V3*W3</f>
        <v>0</v>
      </c>
      <c r="Z3" s="44" t="str">
        <f>IF('Tool ECS'!B21="T2","Baignoire"," ")</f>
        <v xml:space="preserve"> </v>
      </c>
      <c r="AA3" s="41">
        <v>0.9</v>
      </c>
      <c r="AB3" s="41">
        <f>IFERROR(VLOOKUP(Z3,'Tool ECS'!$D$21:$F$21,3,FALSE),0)</f>
        <v>0</v>
      </c>
      <c r="AC3" s="45">
        <f t="shared" ref="AC3:AC8" si="5">+AA3*AB3</f>
        <v>0</v>
      </c>
    </row>
    <row r="4" spans="1:33" x14ac:dyDescent="0.2">
      <c r="A4" s="44" t="str">
        <f>IF(OR('Tool ECS'!B11="T3",'Tool ECS'!B11="T4"),"Baignoire"," ")</f>
        <v xml:space="preserve"> </v>
      </c>
      <c r="B4" s="96">
        <v>1</v>
      </c>
      <c r="C4" s="41">
        <f>IFERROR(VLOOKUP(A4,'Tool ECS'!$D$11:$F$11,3,FALSE),0)</f>
        <v>0</v>
      </c>
      <c r="D4" s="45">
        <f t="shared" si="0"/>
        <v>0</v>
      </c>
      <c r="F4" s="44" t="str">
        <f>IF(OR('Tool ECS'!B13="T3",'Tool ECS'!B13="T4"),"Baignoire"," ")</f>
        <v xml:space="preserve"> </v>
      </c>
      <c r="G4" s="41">
        <v>1</v>
      </c>
      <c r="H4" s="41">
        <f>IFERROR(VLOOKUP(F4,'Tool ECS'!$D$13:$F$13,3,FALSE),0)</f>
        <v>0</v>
      </c>
      <c r="I4" s="45">
        <f t="shared" si="1"/>
        <v>0</v>
      </c>
      <c r="K4" s="44" t="str">
        <f>IF(OR('Tool ECS'!B15="T3",'Tool ECS'!B15="T4"),"Baignoire"," ")</f>
        <v>Baignoire</v>
      </c>
      <c r="L4" s="41">
        <v>1</v>
      </c>
      <c r="M4" s="41">
        <f>IFERROR(VLOOKUP(K4,'Tool ECS'!$D$15:$F$15,3,FALSE),0)</f>
        <v>2</v>
      </c>
      <c r="N4" s="45">
        <f t="shared" si="2"/>
        <v>2</v>
      </c>
      <c r="P4" s="44" t="str">
        <f>IF(OR('Tool ECS'!B17="T3",'Tool ECS'!B17="T4"),"Baignoire"," ")</f>
        <v>Baignoire</v>
      </c>
      <c r="Q4" s="41">
        <v>1</v>
      </c>
      <c r="R4" s="41">
        <f>IFERROR(VLOOKUP(P4,'Tool ECS'!$D$17:$F$17,3,FALSE),0)</f>
        <v>3</v>
      </c>
      <c r="S4" s="45">
        <f t="shared" si="3"/>
        <v>3</v>
      </c>
      <c r="U4" s="44" t="str">
        <f>IF(OR('Tool ECS'!B19="T3",'Tool ECS'!B19="T4"),"Baignoire"," ")</f>
        <v>Baignoire</v>
      </c>
      <c r="V4" s="41">
        <v>1</v>
      </c>
      <c r="W4" s="41">
        <f>IFERROR(VLOOKUP(U4,'Tool ECS'!$D$19:$F$19,3,FALSE),0)</f>
        <v>3</v>
      </c>
      <c r="X4" s="45">
        <f t="shared" si="4"/>
        <v>3</v>
      </c>
      <c r="Z4" s="44" t="str">
        <f>IF(OR('Tool ECS'!B21="T3",'Tool ECS'!B21="T4"),"Baignoire"," ")</f>
        <v>Baignoire</v>
      </c>
      <c r="AA4" s="41">
        <v>1</v>
      </c>
      <c r="AB4" s="41">
        <f>IFERROR(VLOOKUP(Z4,'Tool ECS'!$D$21:$F$21,3,FALSE),0)</f>
        <v>3</v>
      </c>
      <c r="AC4" s="45">
        <f t="shared" si="5"/>
        <v>3</v>
      </c>
    </row>
    <row r="5" spans="1:33" x14ac:dyDescent="0.2">
      <c r="A5" s="44" t="str">
        <f>IF(OR('Tool ECS'!B11="T3",'Tool ECS'!B11="T4"),"Baignoire et Douche"," ")</f>
        <v xml:space="preserve"> </v>
      </c>
      <c r="B5" s="96">
        <v>1.3</v>
      </c>
      <c r="C5" s="41">
        <f>IFERROR(VLOOKUP(A5,'Tool ECS'!$D$11:$F$11,3,FALSE),0)</f>
        <v>0</v>
      </c>
      <c r="D5" s="45">
        <f t="shared" si="0"/>
        <v>0</v>
      </c>
      <c r="F5" s="44" t="str">
        <f>IF(OR('Tool ECS'!B13="T3",'Tool ECS'!B13="T4"),"Baignoire et Douche"," ")</f>
        <v xml:space="preserve"> </v>
      </c>
      <c r="G5" s="41">
        <v>1.3</v>
      </c>
      <c r="H5" s="41">
        <f>IFERROR(VLOOKUP(F5,'Tool ECS'!$D$13:$F$13,3,FALSE),0)</f>
        <v>0</v>
      </c>
      <c r="I5" s="45">
        <f t="shared" si="1"/>
        <v>0</v>
      </c>
      <c r="K5" s="44" t="str">
        <f>IF(OR('Tool ECS'!B15="T3",'Tool ECS'!B15="T4"),"Baignoire et Douche"," ")</f>
        <v>Baignoire et Douche</v>
      </c>
      <c r="L5" s="41">
        <v>1.3</v>
      </c>
      <c r="M5" s="41">
        <f>IFERROR(VLOOKUP(K5,'Tool ECS'!$D$15:$F$15,3,FALSE),0)</f>
        <v>0</v>
      </c>
      <c r="N5" s="45">
        <f t="shared" si="2"/>
        <v>0</v>
      </c>
      <c r="P5" s="44" t="str">
        <f>IF(OR('Tool ECS'!B17="T3",'Tool ECS'!B17="T4"),"Baignoire et Douche"," ")</f>
        <v>Baignoire et Douche</v>
      </c>
      <c r="Q5" s="41">
        <v>1.3</v>
      </c>
      <c r="R5" s="41">
        <f>IFERROR(VLOOKUP(P5,'Tool ECS'!$D$17:$F$17,3,FALSE),0)</f>
        <v>0</v>
      </c>
      <c r="S5" s="45">
        <f t="shared" si="3"/>
        <v>0</v>
      </c>
      <c r="U5" s="44" t="str">
        <f>IF(OR('Tool ECS'!B19="T3",'Tool ECS'!B19="T4"),"Baignoire et Douche"," ")</f>
        <v>Baignoire et Douche</v>
      </c>
      <c r="V5" s="41">
        <v>1.3</v>
      </c>
      <c r="W5" s="41">
        <f>IFERROR(VLOOKUP(U5,'Tool ECS'!$D$19:$F$19,3,FALSE),0)</f>
        <v>0</v>
      </c>
      <c r="X5" s="45">
        <f t="shared" si="4"/>
        <v>0</v>
      </c>
      <c r="Z5" s="44" t="str">
        <f>IF(OR('Tool ECS'!B21="T3",'Tool ECS'!B21="T4"),"Baignoire et Douche"," ")</f>
        <v>Baignoire et Douche</v>
      </c>
      <c r="AA5" s="41">
        <v>1.3</v>
      </c>
      <c r="AB5" s="41">
        <f>IFERROR(VLOOKUP(Z5,'Tool ECS'!$D$21:$F$21,3,FALSE),0)</f>
        <v>0</v>
      </c>
      <c r="AC5" s="45">
        <f t="shared" si="5"/>
        <v>0</v>
      </c>
    </row>
    <row r="6" spans="1:33" x14ac:dyDescent="0.2">
      <c r="A6" s="44" t="str">
        <f>IF(OR('Tool ECS'!B11="T5",'Tool ECS'!B11="T6"),"Baignoire"," ")</f>
        <v xml:space="preserve"> </v>
      </c>
      <c r="B6" s="96">
        <v>1.2</v>
      </c>
      <c r="C6" s="41">
        <f>IFERROR(VLOOKUP(A6,'Tool ECS'!$D$11:$F$11,3,FALSE),0)</f>
        <v>0</v>
      </c>
      <c r="D6" s="45">
        <f t="shared" si="0"/>
        <v>0</v>
      </c>
      <c r="F6" s="44" t="str">
        <f>IF(OR('Tool ECS'!B13="T5",'Tool ECS'!B13="T6"),"Baignoire"," ")</f>
        <v xml:space="preserve"> </v>
      </c>
      <c r="G6" s="41">
        <v>1.2</v>
      </c>
      <c r="H6" s="41">
        <f>IFERROR(VLOOKUP(F6,'Tool ECS'!$D$13:$F$13,3,FALSE),0)</f>
        <v>0</v>
      </c>
      <c r="I6" s="45">
        <f t="shared" si="1"/>
        <v>0</v>
      </c>
      <c r="K6" s="44" t="str">
        <f>IF(OR('Tool ECS'!B15="T5",'Tool ECS'!B15="T6"),"Baignoire"," ")</f>
        <v xml:space="preserve"> </v>
      </c>
      <c r="L6" s="41">
        <v>1.2</v>
      </c>
      <c r="M6" s="41">
        <f>IFERROR(VLOOKUP(K6,'Tool ECS'!$D$15:$F$15,3,FALSE),0)</f>
        <v>0</v>
      </c>
      <c r="N6" s="45">
        <f t="shared" si="2"/>
        <v>0</v>
      </c>
      <c r="P6" s="44" t="str">
        <f>IF(OR('Tool ECS'!B17="T5",'Tool ECS'!B17="T6"),"Baignoire"," ")</f>
        <v xml:space="preserve"> </v>
      </c>
      <c r="Q6" s="41">
        <v>1.2</v>
      </c>
      <c r="R6" s="41">
        <f>IFERROR(VLOOKUP(P6,'Tool ECS'!$D$17:$F$17,3,FALSE),0)</f>
        <v>0</v>
      </c>
      <c r="S6" s="45">
        <f t="shared" si="3"/>
        <v>0</v>
      </c>
      <c r="U6" s="44" t="str">
        <f>IF(OR('Tool ECS'!B19="T5",'Tool ECS'!B19="T6"),"Baignoire"," ")</f>
        <v xml:space="preserve"> </v>
      </c>
      <c r="V6" s="41">
        <v>1.2</v>
      </c>
      <c r="W6" s="41">
        <f>IFERROR(VLOOKUP(U6,'Tool ECS'!$D$19:$F$19,3,FALSE),0)</f>
        <v>0</v>
      </c>
      <c r="X6" s="45">
        <f t="shared" si="4"/>
        <v>0</v>
      </c>
      <c r="Z6" s="44" t="str">
        <f>IF(OR('Tool ECS'!B21="T5",'Tool ECS'!B21="T6"),"Baignoire"," ")</f>
        <v xml:space="preserve"> </v>
      </c>
      <c r="AA6" s="41">
        <v>1.2</v>
      </c>
      <c r="AB6" s="41">
        <f>IFERROR(VLOOKUP(Z6,'Tool ECS'!$D$21:$F$21,3,FALSE),0)</f>
        <v>0</v>
      </c>
      <c r="AC6" s="45">
        <f t="shared" si="5"/>
        <v>0</v>
      </c>
    </row>
    <row r="7" spans="1:33" x14ac:dyDescent="0.2">
      <c r="A7" s="44" t="str">
        <f>IF(OR('Tool ECS'!B11="T5",'Tool ECS'!B11="T6"),"Baignoire et Douche"," ")</f>
        <v xml:space="preserve"> </v>
      </c>
      <c r="B7" s="96">
        <v>1.3</v>
      </c>
      <c r="C7" s="41">
        <f>IFERROR(VLOOKUP(A7,'Tool ECS'!$D$11:$F$11,3,FALSE),0)</f>
        <v>0</v>
      </c>
      <c r="D7" s="45">
        <f t="shared" si="0"/>
        <v>0</v>
      </c>
      <c r="F7" s="44" t="str">
        <f>IF(OR('Tool ECS'!B13="T5",'Tool ECS'!B13="T6"),"Baignoire et Douche"," ")</f>
        <v xml:space="preserve"> </v>
      </c>
      <c r="G7" s="41">
        <v>1.3</v>
      </c>
      <c r="H7" s="41">
        <f>IFERROR(VLOOKUP(F7,'Tool ECS'!$D$13:$F$13,3,FALSE),0)</f>
        <v>0</v>
      </c>
      <c r="I7" s="45">
        <f t="shared" si="1"/>
        <v>0</v>
      </c>
      <c r="K7" s="44" t="str">
        <f>IF(OR('Tool ECS'!B15="T5",'Tool ECS'!B15="T6"),"Baignoire et Douche"," ")</f>
        <v xml:space="preserve"> </v>
      </c>
      <c r="L7" s="41">
        <v>1.3</v>
      </c>
      <c r="M7" s="41">
        <f>IFERROR(VLOOKUP(K7,'Tool ECS'!$D$15:$F$15,3,FALSE),0)</f>
        <v>0</v>
      </c>
      <c r="N7" s="45">
        <f t="shared" si="2"/>
        <v>0</v>
      </c>
      <c r="P7" s="44" t="str">
        <f>IF(OR('Tool ECS'!B17="T5",'Tool ECS'!B17="T6"),"Baignoire et Douche"," ")</f>
        <v xml:space="preserve"> </v>
      </c>
      <c r="Q7" s="41">
        <v>1.3</v>
      </c>
      <c r="R7" s="41">
        <f>IFERROR(VLOOKUP(P7,'Tool ECS'!$D$17:$F$17,3,FALSE),0)</f>
        <v>0</v>
      </c>
      <c r="S7" s="45">
        <f t="shared" si="3"/>
        <v>0</v>
      </c>
      <c r="U7" s="44" t="str">
        <f>IF(OR('Tool ECS'!B19="T5",'Tool ECS'!B19="T6"),"Baignoire et Douche"," ")</f>
        <v xml:space="preserve"> </v>
      </c>
      <c r="V7" s="41">
        <v>1.3</v>
      </c>
      <c r="W7" s="41">
        <f>IFERROR(VLOOKUP(U7,'Tool ECS'!$D$19:$F$19,3,FALSE),0)</f>
        <v>0</v>
      </c>
      <c r="X7" s="45">
        <f t="shared" si="4"/>
        <v>0</v>
      </c>
      <c r="Z7" s="44" t="str">
        <f>IF(OR('Tool ECS'!B21="T5",'Tool ECS'!B21="T6"),"Baignoire et Douche"," ")</f>
        <v xml:space="preserve"> </v>
      </c>
      <c r="AA7" s="41">
        <v>1.3</v>
      </c>
      <c r="AB7" s="41">
        <f>IFERROR(VLOOKUP(Z7,'Tool ECS'!$D$21:$F$21,3,FALSE),0)</f>
        <v>0</v>
      </c>
      <c r="AC7" s="45">
        <f t="shared" si="5"/>
        <v>0</v>
      </c>
    </row>
    <row r="8" spans="1:33" ht="13.5" thickBot="1" x14ac:dyDescent="0.25">
      <c r="A8" s="46" t="str">
        <f>IF(OR('Tool ECS'!B11="T5",'Tool ECS'!B11="T6"),"2 Baignoires"," ")</f>
        <v xml:space="preserve"> </v>
      </c>
      <c r="B8" s="97">
        <v>1.5</v>
      </c>
      <c r="C8" s="41">
        <f>IFERROR(VLOOKUP(A8,'Tool ECS'!$D$11:$F$11,3,FALSE),0)</f>
        <v>0</v>
      </c>
      <c r="D8" s="48">
        <f t="shared" si="0"/>
        <v>0</v>
      </c>
      <c r="F8" s="46" t="str">
        <f>IF(OR('Tool ECS'!B13="T5",'Tool ECS'!B13="T6"),"2 Baignoires"," ")</f>
        <v xml:space="preserve"> </v>
      </c>
      <c r="G8" s="47">
        <v>1.5</v>
      </c>
      <c r="H8" s="41">
        <f>IFERROR(VLOOKUP(F8,'Tool ECS'!$D$13:$F$13,3,FALSE),0)</f>
        <v>0</v>
      </c>
      <c r="I8" s="48">
        <f t="shared" si="1"/>
        <v>0</v>
      </c>
      <c r="K8" s="46" t="str">
        <f>IF(OR('Tool ECS'!B15="T5",'Tool ECS'!B15="T6"),"2 Baignoires"," ")</f>
        <v xml:space="preserve"> </v>
      </c>
      <c r="L8" s="47">
        <v>1.5</v>
      </c>
      <c r="M8" s="41">
        <f>IFERROR(VLOOKUP(K8,'Tool ECS'!$D$15:$F$15,3,FALSE),0)</f>
        <v>0</v>
      </c>
      <c r="N8" s="48">
        <f t="shared" si="2"/>
        <v>0</v>
      </c>
      <c r="P8" s="46" t="str">
        <f>IF(OR('Tool ECS'!B17="T5",'Tool ECS'!B17="T6"),"2 Baignoires"," ")</f>
        <v xml:space="preserve"> </v>
      </c>
      <c r="Q8" s="47">
        <v>1.5</v>
      </c>
      <c r="R8" s="41">
        <f>IFERROR(VLOOKUP(P8,'Tool ECS'!$D$17:$F$17,3,FALSE),0)</f>
        <v>0</v>
      </c>
      <c r="S8" s="48">
        <f t="shared" si="3"/>
        <v>0</v>
      </c>
      <c r="U8" s="46" t="str">
        <f>IF(OR('Tool ECS'!B19="T5",'Tool ECS'!B19="T6"),"2 Baignoires"," ")</f>
        <v xml:space="preserve"> </v>
      </c>
      <c r="V8" s="47">
        <v>1.5</v>
      </c>
      <c r="W8" s="41">
        <f>IFERROR(VLOOKUP(U8,'Tool ECS'!$D$19:$F$19,3,FALSE),0)</f>
        <v>0</v>
      </c>
      <c r="X8" s="48">
        <f t="shared" si="4"/>
        <v>0</v>
      </c>
      <c r="Z8" s="46" t="str">
        <f>IF(OR('Tool ECS'!B21="T5",'Tool ECS'!B21="T6"),"2 Baignoires"," ")</f>
        <v xml:space="preserve"> </v>
      </c>
      <c r="AA8" s="47">
        <v>1.5</v>
      </c>
      <c r="AB8" s="41">
        <f>IFERROR(VLOOKUP(Z8,'Tool ECS'!$D$21:$F$21,3,FALSE),0)</f>
        <v>0</v>
      </c>
      <c r="AC8" s="48">
        <f t="shared" si="5"/>
        <v>0</v>
      </c>
      <c r="AE8" s="41" t="s">
        <v>70</v>
      </c>
    </row>
    <row r="9" spans="1:33" ht="13.5" thickBot="1" x14ac:dyDescent="0.25">
      <c r="D9" s="49">
        <f>SUM(D2:D8)</f>
        <v>12</v>
      </c>
      <c r="I9" s="49">
        <f>SUM(I2:I8)</f>
        <v>8.4</v>
      </c>
      <c r="N9" s="49">
        <f>SUM(N2:N8)</f>
        <v>2</v>
      </c>
      <c r="S9" s="49">
        <f>SUM(S2:S8)</f>
        <v>3</v>
      </c>
      <c r="X9" s="49">
        <f>SUM(X2:X8)</f>
        <v>3</v>
      </c>
      <c r="AC9" s="49">
        <f>SUM(AC2:AC8)</f>
        <v>3</v>
      </c>
      <c r="AD9" t="s">
        <v>56</v>
      </c>
      <c r="AE9" s="41">
        <f>+SUM(A9:AC9)</f>
        <v>31.4</v>
      </c>
      <c r="AF9">
        <f>IF(Tecs=60,AF2*AE9,IF(Tecs=55,AE9*AG2))</f>
        <v>3768</v>
      </c>
      <c r="AG9" t="s">
        <v>72</v>
      </c>
    </row>
    <row r="10" spans="1:33" ht="13.5" thickBot="1" x14ac:dyDescent="0.25"/>
    <row r="11" spans="1:33" x14ac:dyDescent="0.2">
      <c r="A11" s="265" t="s">
        <v>37</v>
      </c>
      <c r="B11" s="266"/>
      <c r="C11" s="42" t="s">
        <v>60</v>
      </c>
      <c r="D11" s="43" t="s">
        <v>65</v>
      </c>
      <c r="AE11" s="41" t="s">
        <v>70</v>
      </c>
    </row>
    <row r="12" spans="1:33" x14ac:dyDescent="0.2">
      <c r="A12" s="44" t="str">
        <f>IF(OR('Tool ECS'!B11=" 0 étoile",'Tool ECS'!B11=" 1 étoile",'Tool ECS'!B11=" 2 étoiles",'Tool ECS'!B11=" 3 étoiles",'Tool ECS'!B11=" 4 étoiles",'Tool ECS'!B11=" 5 étoiles"),'Tool ECS'!B11," ")</f>
        <v xml:space="preserve"> </v>
      </c>
      <c r="B12" s="96" t="str">
        <f>+'Tool ECS'!F8</f>
        <v>Non</v>
      </c>
      <c r="C12" s="41">
        <f>+'Tool ECS'!F11</f>
        <v>20</v>
      </c>
      <c r="D12" s="45">
        <f>+C12</f>
        <v>20</v>
      </c>
      <c r="AD12" t="s">
        <v>37</v>
      </c>
      <c r="AE12" s="41">
        <f>+SUM(D12:AC12)</f>
        <v>20</v>
      </c>
      <c r="AF12" t="e">
        <f>+AE12*D13</f>
        <v>#N/A</v>
      </c>
      <c r="AG12" t="s">
        <v>72</v>
      </c>
    </row>
    <row r="13" spans="1:33" x14ac:dyDescent="0.2">
      <c r="C13" s="63" t="s">
        <v>86</v>
      </c>
      <c r="D13" t="e">
        <f>IF(Tecs=60,IF(B12="oui",VLOOKUP(A12,Calculs!I11:S16,9,FALSE),VLOOKUP(A12,Calculs!I11:S16,8,FALSE)),IF(Tecs=55,IF(B12="oui",VLOOKUP(A12,Calculs!I11:S16,11,FALSE),VLOOKUP(A12,Calculs!I11:S16,10,FALSE))))</f>
        <v>#N/A</v>
      </c>
    </row>
    <row r="14" spans="1:33" ht="13.5" thickBot="1" x14ac:dyDescent="0.25"/>
    <row r="15" spans="1:33" x14ac:dyDescent="0.2">
      <c r="A15" s="265" t="s">
        <v>38</v>
      </c>
      <c r="B15" s="266"/>
      <c r="C15" s="50" t="s">
        <v>60</v>
      </c>
      <c r="D15" s="43" t="s">
        <v>65</v>
      </c>
      <c r="AE15" s="41" t="s">
        <v>70</v>
      </c>
    </row>
    <row r="16" spans="1:33" x14ac:dyDescent="0.2">
      <c r="A16" s="44" t="str">
        <f>IF('Tool ECS'!C8="EPHAD",'Tool ECS'!B11," ")</f>
        <v xml:space="preserve"> </v>
      </c>
      <c r="B16" s="96">
        <f>IF(Tecs=60,Calculs!P24,IF(Tecs=55,Calculs!Q24))</f>
        <v>50</v>
      </c>
      <c r="C16" s="41">
        <f>+'Tool ECS'!F11</f>
        <v>20</v>
      </c>
      <c r="D16" s="45">
        <f>+C16</f>
        <v>20</v>
      </c>
      <c r="AD16" s="63" t="s">
        <v>38</v>
      </c>
      <c r="AE16" s="41">
        <f>+SUM(D16:AC16)</f>
        <v>20</v>
      </c>
      <c r="AF16" t="e">
        <f>+AE16*D17</f>
        <v>#VALUE!</v>
      </c>
      <c r="AG16" t="s">
        <v>72</v>
      </c>
    </row>
    <row r="17" spans="1:33" x14ac:dyDescent="0.2">
      <c r="C17" s="63" t="s">
        <v>86</v>
      </c>
      <c r="D17" t="str">
        <f>IF(A16=" "," ",B16)</f>
        <v xml:space="preserve"> </v>
      </c>
    </row>
    <row r="18" spans="1:33" ht="13.5" thickBot="1" x14ac:dyDescent="0.25"/>
    <row r="19" spans="1:33" x14ac:dyDescent="0.2">
      <c r="A19" s="265" t="s">
        <v>41</v>
      </c>
      <c r="B19" s="266"/>
      <c r="C19" s="50" t="s">
        <v>60</v>
      </c>
      <c r="D19" s="43" t="s">
        <v>65</v>
      </c>
      <c r="AE19" s="41" t="s">
        <v>70</v>
      </c>
    </row>
    <row r="20" spans="1:33" x14ac:dyDescent="0.2">
      <c r="A20" s="44" t="str">
        <f>IF('Tool ECS'!C8="Camping",'Tool ECS'!B11," ")</f>
        <v xml:space="preserve"> </v>
      </c>
      <c r="B20" s="96" t="e">
        <f>IF(Tecs=60,VLOOKUP('Tool ECS'!B11,Calculs!I19:J21,2,FALSE),IF(Tecs=55,VLOOKUP('Tool ECS'!B11,Calculs!I19:J21,3,FALSE)))</f>
        <v>#N/A</v>
      </c>
      <c r="C20" s="41">
        <f>+'Tool ECS'!$F$11</f>
        <v>20</v>
      </c>
      <c r="D20" s="45">
        <f>+C20</f>
        <v>20</v>
      </c>
      <c r="AD20" s="63" t="s">
        <v>41</v>
      </c>
      <c r="AE20" s="41">
        <f>+SUM(D20:AC20)</f>
        <v>20</v>
      </c>
      <c r="AF20" t="e">
        <f>+AE20*D21</f>
        <v>#VALUE!</v>
      </c>
      <c r="AG20" t="s">
        <v>72</v>
      </c>
    </row>
    <row r="21" spans="1:33" x14ac:dyDescent="0.2">
      <c r="C21" s="63" t="s">
        <v>86</v>
      </c>
      <c r="D21" t="str">
        <f>IF(A20=" "," ",B20)</f>
        <v xml:space="preserve"> </v>
      </c>
    </row>
    <row r="22" spans="1:33" ht="13.5" thickBot="1" x14ac:dyDescent="0.25"/>
    <row r="23" spans="1:33" x14ac:dyDescent="0.2">
      <c r="A23" s="265" t="s">
        <v>39</v>
      </c>
      <c r="B23" s="266"/>
      <c r="C23" s="50" t="s">
        <v>60</v>
      </c>
      <c r="D23" s="43" t="s">
        <v>65</v>
      </c>
      <c r="AE23" s="41" t="s">
        <v>70</v>
      </c>
    </row>
    <row r="24" spans="1:33" x14ac:dyDescent="0.2">
      <c r="A24" s="44" t="str">
        <f>IF('Tool ECS'!$C$8="Hôpitaux",'Tool ECS'!B11," ")</f>
        <v xml:space="preserve"> </v>
      </c>
      <c r="B24" s="96" t="e">
        <f>IF(Tecs=60,VLOOKUP('Tool ECS'!B11,Calculs!I28:J28,2,FALSE),IF(Tecs=55,VLOOKUP('Tool ECS'!B11,Calculs!I28:K28,3,FALSE)))</f>
        <v>#N/A</v>
      </c>
      <c r="C24" s="41">
        <f>+'Tool ECS'!$F$11</f>
        <v>20</v>
      </c>
      <c r="D24" s="45">
        <f>+C24</f>
        <v>20</v>
      </c>
      <c r="AD24" s="63" t="s">
        <v>39</v>
      </c>
      <c r="AE24" s="41">
        <f>+SUM(D24:AC24)</f>
        <v>20</v>
      </c>
      <c r="AF24" t="e">
        <f>+AE24*D25</f>
        <v>#VALUE!</v>
      </c>
      <c r="AG24" t="s">
        <v>72</v>
      </c>
    </row>
    <row r="25" spans="1:33" x14ac:dyDescent="0.2">
      <c r="C25" s="63" t="s">
        <v>86</v>
      </c>
      <c r="D25" t="str">
        <f>IF(A24=" "," ",B24)</f>
        <v xml:space="preserve"> </v>
      </c>
    </row>
    <row r="26" spans="1:33" ht="13.5" thickBot="1" x14ac:dyDescent="0.25"/>
    <row r="27" spans="1:33" x14ac:dyDescent="0.2">
      <c r="A27" s="265" t="s">
        <v>40</v>
      </c>
      <c r="B27" s="266"/>
      <c r="C27" s="50" t="s">
        <v>60</v>
      </c>
      <c r="D27" s="43" t="s">
        <v>65</v>
      </c>
      <c r="AE27" s="41" t="s">
        <v>70</v>
      </c>
    </row>
    <row r="28" spans="1:33" x14ac:dyDescent="0.2">
      <c r="A28" s="44" t="str">
        <f>IF('Tool ECS'!$C$8="Internat",'Tool ECS'!B11," ")</f>
        <v xml:space="preserve"> </v>
      </c>
      <c r="B28" s="96" t="e">
        <f>IF(Tecs=60,VLOOKUP('Tool ECS'!B11,Calculs!I32:J32,2,FALSE),IF(Tecs=55,VLOOKUP('Tool ECS'!B11,Calculs!I32:K32,3,FALSE)))</f>
        <v>#N/A</v>
      </c>
      <c r="C28" s="41">
        <f>+'Tool ECS'!$F$11</f>
        <v>20</v>
      </c>
      <c r="D28" s="45" t="e">
        <f>+C28*120/B28</f>
        <v>#N/A</v>
      </c>
      <c r="AD28" s="63" t="s">
        <v>40</v>
      </c>
      <c r="AE28" s="41" t="e">
        <f>+D28</f>
        <v>#N/A</v>
      </c>
      <c r="AF28" t="e">
        <f>+C28*D29</f>
        <v>#VALUE!</v>
      </c>
      <c r="AG28" t="s">
        <v>72</v>
      </c>
    </row>
    <row r="29" spans="1:33" x14ac:dyDescent="0.2">
      <c r="C29" s="63" t="s">
        <v>86</v>
      </c>
      <c r="D29" s="2" t="str">
        <f>IF(A28=" "," ",B28)</f>
        <v xml:space="preserve"> </v>
      </c>
    </row>
    <row r="30" spans="1:33" ht="13.5" thickBot="1" x14ac:dyDescent="0.25"/>
    <row r="31" spans="1:33" x14ac:dyDescent="0.2">
      <c r="A31" s="265" t="s">
        <v>90</v>
      </c>
      <c r="B31" s="266"/>
      <c r="C31" s="50" t="s">
        <v>60</v>
      </c>
      <c r="D31" s="43" t="s">
        <v>65</v>
      </c>
      <c r="AE31" s="41" t="s">
        <v>70</v>
      </c>
    </row>
    <row r="32" spans="1:33" x14ac:dyDescent="0.2">
      <c r="A32" s="44" t="str">
        <f>IF('Tool ECS'!$C$8="restauration",'Tool ECS'!B11," ")</f>
        <v xml:space="preserve"> </v>
      </c>
      <c r="B32" s="96" t="e">
        <f>IF(Tecs=60,VLOOKUP('Tool ECS'!B11,Calculs!I35:J38,2,FALSE),IF(Tecs=55,VLOOKUP('Tool ECS'!B11,Calculs!I35:K38,3,FALSE)))</f>
        <v>#N/A</v>
      </c>
      <c r="C32" s="41">
        <f>+MAX('Tool ECS'!C26,'Tool ECS'!F26,'Tool ECS'!F11)</f>
        <v>20</v>
      </c>
      <c r="D32" s="45">
        <f>+C32</f>
        <v>20</v>
      </c>
      <c r="AD32" s="63" t="s">
        <v>90</v>
      </c>
      <c r="AE32" s="65" t="s">
        <v>4</v>
      </c>
      <c r="AF32" t="e">
        <f>+C32*D33</f>
        <v>#VALUE!</v>
      </c>
      <c r="AG32" t="s">
        <v>72</v>
      </c>
    </row>
    <row r="33" spans="1:33" x14ac:dyDescent="0.2">
      <c r="C33" s="63" t="s">
        <v>86</v>
      </c>
      <c r="D33" t="str">
        <f>IF(A32=" "," ",B32)</f>
        <v xml:space="preserve"> </v>
      </c>
    </row>
    <row r="34" spans="1:33" ht="13.5" thickBot="1" x14ac:dyDescent="0.25"/>
    <row r="35" spans="1:33" x14ac:dyDescent="0.2">
      <c r="A35" s="265" t="s">
        <v>43</v>
      </c>
      <c r="B35" s="266"/>
      <c r="C35" s="64" t="s">
        <v>60</v>
      </c>
      <c r="D35" s="43" t="s">
        <v>65</v>
      </c>
      <c r="AE35" s="41" t="s">
        <v>70</v>
      </c>
    </row>
    <row r="36" spans="1:33" x14ac:dyDescent="0.2">
      <c r="A36" s="44" t="str">
        <f>IF('Tool ECS'!$C$8="Etablissement sportif",'Tool ECS'!B11," ")</f>
        <v xml:space="preserve"> </v>
      </c>
      <c r="B36" s="96" t="e">
        <f>IF(Tecs=60,VLOOKUP('Tool ECS'!B11,Calculs!I41:J41,2,FALSE),IF(Tecs=55,VLOOKUP('Tool ECS'!B11,Calculs!I41:K41,3,FALSE)))</f>
        <v>#N/A</v>
      </c>
      <c r="C36" s="41">
        <f>+'Tool ECS'!F25</f>
        <v>0</v>
      </c>
      <c r="D36" s="45"/>
      <c r="AD36" s="63" t="s">
        <v>43</v>
      </c>
      <c r="AE36" s="41" t="s">
        <v>4</v>
      </c>
      <c r="AF36" t="e">
        <f>+C36*D37</f>
        <v>#VALUE!</v>
      </c>
      <c r="AG36" t="s">
        <v>72</v>
      </c>
    </row>
    <row r="37" spans="1:33" x14ac:dyDescent="0.2">
      <c r="C37" s="63" t="s">
        <v>86</v>
      </c>
      <c r="D37" t="str">
        <f>IF(A36=" "," ",B36)</f>
        <v xml:space="preserve"> </v>
      </c>
    </row>
    <row r="38" spans="1:33" ht="13.5" thickBot="1" x14ac:dyDescent="0.25"/>
    <row r="39" spans="1:33" x14ac:dyDescent="0.2">
      <c r="A39" s="265" t="s">
        <v>42</v>
      </c>
      <c r="B39" s="266"/>
      <c r="C39" s="64" t="s">
        <v>60</v>
      </c>
      <c r="D39" s="43" t="s">
        <v>65</v>
      </c>
      <c r="AE39" s="41" t="s">
        <v>70</v>
      </c>
    </row>
    <row r="40" spans="1:33" x14ac:dyDescent="0.2">
      <c r="A40" s="44" t="str">
        <f>IF('Tool ECS'!$C$8="usine",'Tool ECS'!B11," ")</f>
        <v xml:space="preserve"> </v>
      </c>
      <c r="B40" s="96" t="e">
        <f>IF(Tecs=60,VLOOKUP('Tool ECS'!B11,Calculs!I43:J44,2,FALSE),IF(Tecs=55,,VLOOKUP('Tool ECS'!B11,Calculs!I43:K44,3,FALSE)))</f>
        <v>#N/A</v>
      </c>
      <c r="C40" s="41">
        <f>+'Tool ECS'!F11</f>
        <v>20</v>
      </c>
      <c r="D40" s="45"/>
      <c r="AD40" s="63" t="s">
        <v>42</v>
      </c>
      <c r="AE40" s="41" t="s">
        <v>4</v>
      </c>
      <c r="AF40" t="e">
        <f>+C40*D41</f>
        <v>#VALUE!</v>
      </c>
      <c r="AG40" t="s">
        <v>72</v>
      </c>
    </row>
    <row r="41" spans="1:33" x14ac:dyDescent="0.2">
      <c r="C41" s="63" t="s">
        <v>86</v>
      </c>
      <c r="D41" t="str">
        <f>IF(A40=" "," ",B40)</f>
        <v xml:space="preserve"> </v>
      </c>
    </row>
  </sheetData>
  <mergeCells count="14">
    <mergeCell ref="A35:B35"/>
    <mergeCell ref="A39:B39"/>
    <mergeCell ref="A11:B11"/>
    <mergeCell ref="Z1:AA1"/>
    <mergeCell ref="A1:B1"/>
    <mergeCell ref="F1:G1"/>
    <mergeCell ref="K1:L1"/>
    <mergeCell ref="P1:Q1"/>
    <mergeCell ref="U1:V1"/>
    <mergeCell ref="A15:B15"/>
    <mergeCell ref="A19:B19"/>
    <mergeCell ref="A23:B23"/>
    <mergeCell ref="A27:B27"/>
    <mergeCell ref="A31:B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G602"/>
  <sheetViews>
    <sheetView workbookViewId="0">
      <selection activeCell="F122" sqref="F122"/>
    </sheetView>
  </sheetViews>
  <sheetFormatPr baseColWidth="10" defaultRowHeight="12.75" x14ac:dyDescent="0.2"/>
  <sheetData>
    <row r="1" spans="1:7" x14ac:dyDescent="0.2">
      <c r="A1" s="63" t="s">
        <v>105</v>
      </c>
      <c r="B1" s="63" t="s">
        <v>101</v>
      </c>
      <c r="C1" s="63" t="s">
        <v>106</v>
      </c>
      <c r="D1" s="63" t="s">
        <v>108</v>
      </c>
      <c r="E1" s="63" t="s">
        <v>107</v>
      </c>
      <c r="F1" s="63" t="s">
        <v>105</v>
      </c>
      <c r="G1" s="66" t="s">
        <v>109</v>
      </c>
    </row>
    <row r="2" spans="1:7" x14ac:dyDescent="0.2">
      <c r="A2">
        <v>0</v>
      </c>
      <c r="B2" s="2">
        <f t="shared" ref="B2:B65" si="0">pw*cw*(Tecs-Tef)*(Qmax-A2)/Tmax</f>
        <v>153.9763883903023</v>
      </c>
      <c r="C2" s="2">
        <f t="shared" ref="C2:C65" si="1">pw*cw*(Tecs-Tef)*(Qph-A2)/Tph</f>
        <v>56.393542180534304</v>
      </c>
      <c r="D2">
        <v>7</v>
      </c>
      <c r="E2" s="2">
        <f t="shared" ref="E2:E65" si="2">+pw*cw*(Tecs-Tef)*(A2/D2)</f>
        <v>0</v>
      </c>
      <c r="F2">
        <v>0</v>
      </c>
      <c r="G2" s="2">
        <f>MAX(B2,C2,E2)</f>
        <v>153.9763883903023</v>
      </c>
    </row>
    <row r="3" spans="1:7" x14ac:dyDescent="0.2">
      <c r="A3">
        <v>50</v>
      </c>
      <c r="B3" s="2">
        <f t="shared" si="0"/>
        <v>136.53138839030231</v>
      </c>
      <c r="C3" s="2">
        <f t="shared" si="1"/>
        <v>55.395779580029448</v>
      </c>
      <c r="D3">
        <v>7</v>
      </c>
      <c r="E3" s="2">
        <f t="shared" si="2"/>
        <v>0.41535714285714287</v>
      </c>
      <c r="F3">
        <v>50</v>
      </c>
      <c r="G3" s="2">
        <f t="shared" ref="G3:G66" si="3">MAX(B3,C3,E3)</f>
        <v>136.53138839030231</v>
      </c>
    </row>
    <row r="4" spans="1:7" x14ac:dyDescent="0.2">
      <c r="A4">
        <v>100</v>
      </c>
      <c r="B4" s="2">
        <f t="shared" si="0"/>
        <v>119.08638839030229</v>
      </c>
      <c r="C4" s="2">
        <f t="shared" si="1"/>
        <v>54.398016979524598</v>
      </c>
      <c r="D4">
        <v>7</v>
      </c>
      <c r="E4" s="2">
        <f t="shared" si="2"/>
        <v>0.83071428571428574</v>
      </c>
      <c r="F4">
        <f>IF(G4=" "," ",F3+50)</f>
        <v>100</v>
      </c>
      <c r="G4" s="2">
        <f t="shared" si="3"/>
        <v>119.08638839030229</v>
      </c>
    </row>
    <row r="5" spans="1:7" x14ac:dyDescent="0.2">
      <c r="A5">
        <v>150</v>
      </c>
      <c r="B5" s="2">
        <f t="shared" si="0"/>
        <v>101.6413883903023</v>
      </c>
      <c r="C5" s="2">
        <f t="shared" si="1"/>
        <v>53.400254379019742</v>
      </c>
      <c r="D5">
        <v>7</v>
      </c>
      <c r="E5" s="2">
        <f t="shared" si="2"/>
        <v>1.2460714285714285</v>
      </c>
      <c r="F5">
        <f t="shared" ref="F5:F68" si="4">IF(G5=" "," ",F4+50)</f>
        <v>150</v>
      </c>
      <c r="G5" s="2">
        <f t="shared" si="3"/>
        <v>101.6413883903023</v>
      </c>
    </row>
    <row r="6" spans="1:7" x14ac:dyDescent="0.2">
      <c r="A6">
        <v>200</v>
      </c>
      <c r="B6" s="2">
        <f t="shared" si="0"/>
        <v>84.196388390302303</v>
      </c>
      <c r="C6" s="2">
        <f t="shared" si="1"/>
        <v>52.402491778514893</v>
      </c>
      <c r="D6">
        <v>7</v>
      </c>
      <c r="E6" s="2">
        <f t="shared" si="2"/>
        <v>1.6614285714285715</v>
      </c>
      <c r="F6">
        <f t="shared" si="4"/>
        <v>200</v>
      </c>
      <c r="G6" s="2">
        <f t="shared" si="3"/>
        <v>84.196388390302303</v>
      </c>
    </row>
    <row r="7" spans="1:7" x14ac:dyDescent="0.2">
      <c r="A7">
        <v>250</v>
      </c>
      <c r="B7" s="2">
        <f t="shared" si="0"/>
        <v>66.75138839030231</v>
      </c>
      <c r="C7" s="2">
        <f t="shared" si="1"/>
        <v>51.404729178010037</v>
      </c>
      <c r="D7">
        <v>7</v>
      </c>
      <c r="E7" s="2">
        <f t="shared" si="2"/>
        <v>2.0767857142857142</v>
      </c>
      <c r="F7">
        <f t="shared" si="4"/>
        <v>250</v>
      </c>
      <c r="G7" s="2">
        <f t="shared" si="3"/>
        <v>66.75138839030231</v>
      </c>
    </row>
    <row r="8" spans="1:7" x14ac:dyDescent="0.2">
      <c r="A8">
        <v>300</v>
      </c>
      <c r="B8" s="2">
        <f t="shared" si="0"/>
        <v>49.306388390302295</v>
      </c>
      <c r="C8" s="2">
        <f t="shared" si="1"/>
        <v>50.406966577505187</v>
      </c>
      <c r="D8">
        <v>7</v>
      </c>
      <c r="E8" s="2">
        <f t="shared" si="2"/>
        <v>2.492142857142857</v>
      </c>
      <c r="F8">
        <f t="shared" si="4"/>
        <v>300</v>
      </c>
      <c r="G8" s="2">
        <f t="shared" si="3"/>
        <v>50.406966577505187</v>
      </c>
    </row>
    <row r="9" spans="1:7" x14ac:dyDescent="0.2">
      <c r="A9">
        <v>350</v>
      </c>
      <c r="B9" s="2">
        <f t="shared" si="0"/>
        <v>31.861388390302299</v>
      </c>
      <c r="C9" s="2">
        <f t="shared" si="1"/>
        <v>49.409203977000331</v>
      </c>
      <c r="D9">
        <v>7</v>
      </c>
      <c r="E9" s="2">
        <f t="shared" si="2"/>
        <v>2.9075000000000002</v>
      </c>
      <c r="F9">
        <f t="shared" si="4"/>
        <v>350</v>
      </c>
      <c r="G9" s="2">
        <f t="shared" si="3"/>
        <v>49.409203977000331</v>
      </c>
    </row>
    <row r="10" spans="1:7" x14ac:dyDescent="0.2">
      <c r="A10">
        <v>400</v>
      </c>
      <c r="B10" s="2">
        <f t="shared" si="0"/>
        <v>14.416388390302297</v>
      </c>
      <c r="C10" s="2">
        <f t="shared" si="1"/>
        <v>48.411441376495482</v>
      </c>
      <c r="D10">
        <v>7</v>
      </c>
      <c r="E10" s="2">
        <f t="shared" si="2"/>
        <v>3.322857142857143</v>
      </c>
      <c r="F10">
        <f t="shared" si="4"/>
        <v>400</v>
      </c>
      <c r="G10" s="2">
        <f t="shared" si="3"/>
        <v>48.411441376495482</v>
      </c>
    </row>
    <row r="11" spans="1:7" x14ac:dyDescent="0.2">
      <c r="A11">
        <v>450</v>
      </c>
      <c r="B11" s="2">
        <f t="shared" si="0"/>
        <v>-3.0286116096977027</v>
      </c>
      <c r="C11" s="2">
        <f t="shared" si="1"/>
        <v>47.413678775990626</v>
      </c>
      <c r="D11">
        <v>7</v>
      </c>
      <c r="E11" s="2">
        <f t="shared" si="2"/>
        <v>3.7382142857142862</v>
      </c>
      <c r="F11">
        <f t="shared" si="4"/>
        <v>450</v>
      </c>
      <c r="G11" s="2">
        <f t="shared" si="3"/>
        <v>47.413678775990626</v>
      </c>
    </row>
    <row r="12" spans="1:7" x14ac:dyDescent="0.2">
      <c r="A12">
        <v>500</v>
      </c>
      <c r="B12" s="2">
        <f t="shared" si="0"/>
        <v>-20.473611609697706</v>
      </c>
      <c r="C12" s="2">
        <f t="shared" si="1"/>
        <v>46.415916175485776</v>
      </c>
      <c r="D12">
        <v>7</v>
      </c>
      <c r="E12" s="2">
        <f t="shared" si="2"/>
        <v>4.1535714285714285</v>
      </c>
      <c r="F12">
        <f t="shared" si="4"/>
        <v>500</v>
      </c>
      <c r="G12" s="2">
        <f t="shared" si="3"/>
        <v>46.415916175485776</v>
      </c>
    </row>
    <row r="13" spans="1:7" x14ac:dyDescent="0.2">
      <c r="A13">
        <v>550</v>
      </c>
      <c r="B13" s="2">
        <f t="shared" si="0"/>
        <v>-37.918611609697706</v>
      </c>
      <c r="C13" s="2">
        <f t="shared" si="1"/>
        <v>45.41815357498092</v>
      </c>
      <c r="D13">
        <v>7</v>
      </c>
      <c r="E13" s="2">
        <f t="shared" si="2"/>
        <v>4.5689285714285717</v>
      </c>
      <c r="F13">
        <f t="shared" si="4"/>
        <v>550</v>
      </c>
      <c r="G13" s="2">
        <f t="shared" si="3"/>
        <v>45.41815357498092</v>
      </c>
    </row>
    <row r="14" spans="1:7" x14ac:dyDescent="0.2">
      <c r="A14">
        <v>600</v>
      </c>
      <c r="B14" s="2">
        <f t="shared" si="0"/>
        <v>-55.363611609697706</v>
      </c>
      <c r="C14" s="2">
        <f t="shared" si="1"/>
        <v>44.420390974476071</v>
      </c>
      <c r="D14">
        <v>7</v>
      </c>
      <c r="E14" s="2">
        <f t="shared" si="2"/>
        <v>4.984285714285714</v>
      </c>
      <c r="F14">
        <f t="shared" si="4"/>
        <v>600</v>
      </c>
      <c r="G14" s="2">
        <f t="shared" si="3"/>
        <v>44.420390974476071</v>
      </c>
    </row>
    <row r="15" spans="1:7" x14ac:dyDescent="0.2">
      <c r="A15">
        <v>650</v>
      </c>
      <c r="B15" s="2">
        <f t="shared" si="0"/>
        <v>-72.808611609697707</v>
      </c>
      <c r="C15" s="2">
        <f t="shared" si="1"/>
        <v>43.422628373971214</v>
      </c>
      <c r="D15">
        <v>7</v>
      </c>
      <c r="E15" s="2">
        <f t="shared" si="2"/>
        <v>5.3996428571428572</v>
      </c>
      <c r="F15">
        <f t="shared" si="4"/>
        <v>650</v>
      </c>
      <c r="G15" s="2">
        <f t="shared" si="3"/>
        <v>43.422628373971214</v>
      </c>
    </row>
    <row r="16" spans="1:7" x14ac:dyDescent="0.2">
      <c r="A16">
        <v>700</v>
      </c>
      <c r="B16" s="2">
        <f t="shared" si="0"/>
        <v>-90.253611609697714</v>
      </c>
      <c r="C16" s="2">
        <f t="shared" si="1"/>
        <v>42.424865773466365</v>
      </c>
      <c r="D16">
        <v>7</v>
      </c>
      <c r="E16" s="2">
        <f t="shared" si="2"/>
        <v>5.8150000000000004</v>
      </c>
      <c r="F16">
        <f t="shared" si="4"/>
        <v>700</v>
      </c>
      <c r="G16" s="2">
        <f t="shared" si="3"/>
        <v>42.424865773466365</v>
      </c>
    </row>
    <row r="17" spans="1:7" x14ac:dyDescent="0.2">
      <c r="A17">
        <v>750</v>
      </c>
      <c r="B17" s="2">
        <f t="shared" si="0"/>
        <v>-107.69861160969771</v>
      </c>
      <c r="C17" s="2">
        <f t="shared" si="1"/>
        <v>41.427103172961509</v>
      </c>
      <c r="D17">
        <v>7</v>
      </c>
      <c r="E17" s="2">
        <f t="shared" si="2"/>
        <v>6.2303571428571427</v>
      </c>
      <c r="F17">
        <f t="shared" si="4"/>
        <v>750</v>
      </c>
      <c r="G17" s="2">
        <f t="shared" si="3"/>
        <v>41.427103172961509</v>
      </c>
    </row>
    <row r="18" spans="1:7" x14ac:dyDescent="0.2">
      <c r="A18">
        <v>800</v>
      </c>
      <c r="B18" s="2">
        <f t="shared" si="0"/>
        <v>-125.1436116096977</v>
      </c>
      <c r="C18" s="2">
        <f t="shared" si="1"/>
        <v>40.429340572456653</v>
      </c>
      <c r="D18">
        <v>7</v>
      </c>
      <c r="E18" s="2">
        <f t="shared" si="2"/>
        <v>6.6457142857142859</v>
      </c>
      <c r="F18">
        <f t="shared" si="4"/>
        <v>800</v>
      </c>
      <c r="G18" s="2">
        <f t="shared" si="3"/>
        <v>40.429340572456653</v>
      </c>
    </row>
    <row r="19" spans="1:7" x14ac:dyDescent="0.2">
      <c r="A19">
        <v>850</v>
      </c>
      <c r="B19" s="2">
        <f t="shared" si="0"/>
        <v>-142.58861160969769</v>
      </c>
      <c r="C19" s="2">
        <f t="shared" si="1"/>
        <v>39.431577971951796</v>
      </c>
      <c r="D19">
        <v>7</v>
      </c>
      <c r="E19" s="2">
        <f t="shared" si="2"/>
        <v>7.0610714285714291</v>
      </c>
      <c r="F19">
        <f t="shared" si="4"/>
        <v>850</v>
      </c>
      <c r="G19" s="2">
        <f t="shared" si="3"/>
        <v>39.431577971951796</v>
      </c>
    </row>
    <row r="20" spans="1:7" x14ac:dyDescent="0.2">
      <c r="A20">
        <v>900</v>
      </c>
      <c r="B20" s="2">
        <f t="shared" si="0"/>
        <v>-160.03361160969772</v>
      </c>
      <c r="C20" s="2">
        <f t="shared" si="1"/>
        <v>38.433815371446947</v>
      </c>
      <c r="D20">
        <v>7</v>
      </c>
      <c r="E20" s="2">
        <f t="shared" si="2"/>
        <v>7.4764285714285723</v>
      </c>
      <c r="F20">
        <f t="shared" si="4"/>
        <v>900</v>
      </c>
      <c r="G20" s="2">
        <f t="shared" si="3"/>
        <v>38.433815371446947</v>
      </c>
    </row>
    <row r="21" spans="1:7" x14ac:dyDescent="0.2">
      <c r="A21">
        <v>950</v>
      </c>
      <c r="B21" s="2">
        <f t="shared" si="0"/>
        <v>-177.47861160969771</v>
      </c>
      <c r="C21" s="2">
        <f t="shared" si="1"/>
        <v>37.436052770942091</v>
      </c>
      <c r="D21">
        <v>7</v>
      </c>
      <c r="E21" s="2">
        <f t="shared" si="2"/>
        <v>7.8917857142857146</v>
      </c>
      <c r="F21">
        <f t="shared" si="4"/>
        <v>950</v>
      </c>
      <c r="G21" s="2">
        <f t="shared" si="3"/>
        <v>37.436052770942091</v>
      </c>
    </row>
    <row r="22" spans="1:7" x14ac:dyDescent="0.2">
      <c r="A22">
        <v>1000</v>
      </c>
      <c r="B22" s="2">
        <f t="shared" si="0"/>
        <v>-194.92361160969773</v>
      </c>
      <c r="C22" s="2">
        <f t="shared" si="1"/>
        <v>36.438290170437241</v>
      </c>
      <c r="D22">
        <v>7</v>
      </c>
      <c r="E22" s="2">
        <f t="shared" si="2"/>
        <v>8.3071428571428569</v>
      </c>
      <c r="F22">
        <f t="shared" si="4"/>
        <v>1000</v>
      </c>
      <c r="G22" s="2">
        <f t="shared" si="3"/>
        <v>36.438290170437241</v>
      </c>
    </row>
    <row r="23" spans="1:7" x14ac:dyDescent="0.2">
      <c r="A23">
        <v>1050</v>
      </c>
      <c r="B23" s="2">
        <f t="shared" si="0"/>
        <v>-212.36861160969772</v>
      </c>
      <c r="C23" s="2">
        <f t="shared" si="1"/>
        <v>35.440527569932385</v>
      </c>
      <c r="D23">
        <v>7</v>
      </c>
      <c r="E23" s="2">
        <f t="shared" si="2"/>
        <v>8.7225000000000001</v>
      </c>
      <c r="F23">
        <f t="shared" si="4"/>
        <v>1050</v>
      </c>
      <c r="G23" s="2">
        <f t="shared" si="3"/>
        <v>35.440527569932385</v>
      </c>
    </row>
    <row r="24" spans="1:7" x14ac:dyDescent="0.2">
      <c r="A24">
        <v>1100</v>
      </c>
      <c r="B24" s="2">
        <f t="shared" si="0"/>
        <v>-229.81361160969774</v>
      </c>
      <c r="C24" s="2">
        <f t="shared" si="1"/>
        <v>34.442764969427536</v>
      </c>
      <c r="D24">
        <v>7</v>
      </c>
      <c r="E24" s="2">
        <f t="shared" si="2"/>
        <v>9.1378571428571433</v>
      </c>
      <c r="F24">
        <f t="shared" si="4"/>
        <v>1100</v>
      </c>
      <c r="G24" s="2">
        <f t="shared" si="3"/>
        <v>34.442764969427536</v>
      </c>
    </row>
    <row r="25" spans="1:7" x14ac:dyDescent="0.2">
      <c r="A25">
        <v>1150</v>
      </c>
      <c r="B25" s="2">
        <f t="shared" si="0"/>
        <v>-247.25861160969774</v>
      </c>
      <c r="C25" s="2">
        <f t="shared" si="1"/>
        <v>33.44500236892268</v>
      </c>
      <c r="D25">
        <v>7</v>
      </c>
      <c r="E25" s="2">
        <f t="shared" si="2"/>
        <v>9.5532142857142848</v>
      </c>
      <c r="F25">
        <f t="shared" si="4"/>
        <v>1150</v>
      </c>
      <c r="G25" s="2">
        <f t="shared" si="3"/>
        <v>33.44500236892268</v>
      </c>
    </row>
    <row r="26" spans="1:7" x14ac:dyDescent="0.2">
      <c r="A26">
        <v>1200</v>
      </c>
      <c r="B26" s="2">
        <f t="shared" si="0"/>
        <v>-264.70361160969776</v>
      </c>
      <c r="C26" s="2">
        <f t="shared" si="1"/>
        <v>32.44723976841783</v>
      </c>
      <c r="D26">
        <v>7</v>
      </c>
      <c r="E26" s="2">
        <f t="shared" si="2"/>
        <v>9.968571428571428</v>
      </c>
      <c r="F26">
        <f t="shared" si="4"/>
        <v>1200</v>
      </c>
      <c r="G26" s="2">
        <f t="shared" si="3"/>
        <v>32.44723976841783</v>
      </c>
    </row>
    <row r="27" spans="1:7" x14ac:dyDescent="0.2">
      <c r="A27">
        <v>1250</v>
      </c>
      <c r="B27" s="2">
        <f t="shared" si="0"/>
        <v>-282.14861160969775</v>
      </c>
      <c r="C27" s="2">
        <f t="shared" si="1"/>
        <v>31.449477167912978</v>
      </c>
      <c r="D27">
        <v>7</v>
      </c>
      <c r="E27" s="2">
        <f t="shared" si="2"/>
        <v>10.383928571428573</v>
      </c>
      <c r="F27">
        <f t="shared" si="4"/>
        <v>1250</v>
      </c>
      <c r="G27" s="2">
        <f t="shared" si="3"/>
        <v>31.449477167912978</v>
      </c>
    </row>
    <row r="28" spans="1:7" x14ac:dyDescent="0.2">
      <c r="A28">
        <v>1300</v>
      </c>
      <c r="B28" s="2">
        <f t="shared" si="0"/>
        <v>-299.59361160969775</v>
      </c>
      <c r="C28" s="2">
        <f t="shared" si="1"/>
        <v>30.451714567408125</v>
      </c>
      <c r="D28">
        <v>7</v>
      </c>
      <c r="E28" s="2">
        <f t="shared" si="2"/>
        <v>10.799285714285714</v>
      </c>
      <c r="F28">
        <f t="shared" si="4"/>
        <v>1300</v>
      </c>
      <c r="G28" s="2">
        <f t="shared" si="3"/>
        <v>30.451714567408125</v>
      </c>
    </row>
    <row r="29" spans="1:7" x14ac:dyDescent="0.2">
      <c r="A29">
        <v>1350</v>
      </c>
      <c r="B29" s="2">
        <f t="shared" si="0"/>
        <v>-317.03861160969774</v>
      </c>
      <c r="C29" s="2">
        <f t="shared" si="1"/>
        <v>29.453951966903272</v>
      </c>
      <c r="D29">
        <v>7</v>
      </c>
      <c r="E29" s="2">
        <f t="shared" si="2"/>
        <v>11.214642857142858</v>
      </c>
      <c r="F29">
        <f t="shared" si="4"/>
        <v>1350</v>
      </c>
      <c r="G29" s="2">
        <f t="shared" si="3"/>
        <v>29.453951966903272</v>
      </c>
    </row>
    <row r="30" spans="1:7" x14ac:dyDescent="0.2">
      <c r="A30">
        <v>1400</v>
      </c>
      <c r="B30" s="2">
        <f t="shared" si="0"/>
        <v>-334.48361160969773</v>
      </c>
      <c r="C30" s="2">
        <f t="shared" si="1"/>
        <v>28.456189366398412</v>
      </c>
      <c r="D30">
        <v>7</v>
      </c>
      <c r="E30" s="2">
        <f t="shared" si="2"/>
        <v>11.63</v>
      </c>
      <c r="F30">
        <f t="shared" si="4"/>
        <v>1400</v>
      </c>
      <c r="G30" s="2">
        <f t="shared" si="3"/>
        <v>28.456189366398412</v>
      </c>
    </row>
    <row r="31" spans="1:7" x14ac:dyDescent="0.2">
      <c r="A31">
        <v>1450</v>
      </c>
      <c r="B31" s="2">
        <f t="shared" si="0"/>
        <v>-351.92861160969778</v>
      </c>
      <c r="C31" s="2">
        <f t="shared" si="1"/>
        <v>27.458426765893559</v>
      </c>
      <c r="D31">
        <v>7</v>
      </c>
      <c r="E31" s="2">
        <f t="shared" si="2"/>
        <v>12.045357142857142</v>
      </c>
      <c r="F31">
        <f t="shared" si="4"/>
        <v>1450</v>
      </c>
      <c r="G31" s="2">
        <f t="shared" si="3"/>
        <v>27.458426765893559</v>
      </c>
    </row>
    <row r="32" spans="1:7" x14ac:dyDescent="0.2">
      <c r="A32">
        <v>1500</v>
      </c>
      <c r="B32" s="2">
        <f t="shared" si="0"/>
        <v>-369.37361160969778</v>
      </c>
      <c r="C32" s="2">
        <f t="shared" si="1"/>
        <v>26.460664165388707</v>
      </c>
      <c r="D32">
        <v>7</v>
      </c>
      <c r="E32" s="2">
        <f t="shared" si="2"/>
        <v>12.460714285714285</v>
      </c>
      <c r="F32">
        <f t="shared" si="4"/>
        <v>1500</v>
      </c>
      <c r="G32" s="2">
        <f t="shared" si="3"/>
        <v>26.460664165388707</v>
      </c>
    </row>
    <row r="33" spans="1:7" x14ac:dyDescent="0.2">
      <c r="A33">
        <v>1550</v>
      </c>
      <c r="B33" s="2">
        <f t="shared" si="0"/>
        <v>-386.81861160969771</v>
      </c>
      <c r="C33" s="2">
        <f t="shared" si="1"/>
        <v>25.462901564883854</v>
      </c>
      <c r="D33">
        <v>7</v>
      </c>
      <c r="E33" s="2">
        <f t="shared" si="2"/>
        <v>12.876071428571429</v>
      </c>
      <c r="F33">
        <f t="shared" si="4"/>
        <v>1550</v>
      </c>
      <c r="G33" s="2">
        <f t="shared" si="3"/>
        <v>25.462901564883854</v>
      </c>
    </row>
    <row r="34" spans="1:7" x14ac:dyDescent="0.2">
      <c r="A34">
        <v>1600</v>
      </c>
      <c r="B34" s="2">
        <f t="shared" si="0"/>
        <v>-404.26361160969776</v>
      </c>
      <c r="C34" s="2">
        <f t="shared" si="1"/>
        <v>24.465138964379001</v>
      </c>
      <c r="D34">
        <v>7</v>
      </c>
      <c r="E34" s="2">
        <f t="shared" si="2"/>
        <v>13.291428571428572</v>
      </c>
      <c r="F34">
        <f t="shared" si="4"/>
        <v>1600</v>
      </c>
      <c r="G34" s="2">
        <f t="shared" si="3"/>
        <v>24.465138964379001</v>
      </c>
    </row>
    <row r="35" spans="1:7" x14ac:dyDescent="0.2">
      <c r="A35">
        <v>1650</v>
      </c>
      <c r="B35" s="2">
        <f t="shared" si="0"/>
        <v>-421.70861160969775</v>
      </c>
      <c r="C35" s="2">
        <f t="shared" si="1"/>
        <v>23.467376363874148</v>
      </c>
      <c r="D35">
        <v>7</v>
      </c>
      <c r="E35" s="2">
        <f t="shared" si="2"/>
        <v>13.706785714285715</v>
      </c>
      <c r="F35">
        <f t="shared" si="4"/>
        <v>1650</v>
      </c>
      <c r="G35" s="2">
        <f t="shared" si="3"/>
        <v>23.467376363874148</v>
      </c>
    </row>
    <row r="36" spans="1:7" x14ac:dyDescent="0.2">
      <c r="A36">
        <v>1700</v>
      </c>
      <c r="B36" s="2">
        <f t="shared" si="0"/>
        <v>-439.15361160969775</v>
      </c>
      <c r="C36" s="2">
        <f t="shared" si="1"/>
        <v>22.469613763369296</v>
      </c>
      <c r="D36">
        <v>7</v>
      </c>
      <c r="E36" s="2">
        <f t="shared" si="2"/>
        <v>14.122142857142858</v>
      </c>
      <c r="F36">
        <f t="shared" si="4"/>
        <v>1700</v>
      </c>
      <c r="G36" s="2">
        <f t="shared" si="3"/>
        <v>22.469613763369296</v>
      </c>
    </row>
    <row r="37" spans="1:7" x14ac:dyDescent="0.2">
      <c r="A37">
        <v>1750</v>
      </c>
      <c r="B37" s="2">
        <f t="shared" si="0"/>
        <v>-456.59861160969774</v>
      </c>
      <c r="C37" s="2">
        <f t="shared" si="1"/>
        <v>21.471851162864443</v>
      </c>
      <c r="D37">
        <v>7</v>
      </c>
      <c r="E37" s="2">
        <f t="shared" si="2"/>
        <v>14.5375</v>
      </c>
      <c r="F37">
        <f t="shared" si="4"/>
        <v>1750</v>
      </c>
      <c r="G37" s="2">
        <f t="shared" si="3"/>
        <v>21.471851162864443</v>
      </c>
    </row>
    <row r="38" spans="1:7" x14ac:dyDescent="0.2">
      <c r="A38">
        <v>1800</v>
      </c>
      <c r="B38" s="2">
        <f t="shared" si="0"/>
        <v>-474.04361160969773</v>
      </c>
      <c r="C38" s="2">
        <f t="shared" si="1"/>
        <v>20.47408856235959</v>
      </c>
      <c r="D38">
        <v>7</v>
      </c>
      <c r="E38" s="2">
        <f t="shared" si="2"/>
        <v>14.952857142857145</v>
      </c>
      <c r="F38">
        <f t="shared" si="4"/>
        <v>1800</v>
      </c>
      <c r="G38" s="2">
        <f t="shared" si="3"/>
        <v>20.47408856235959</v>
      </c>
    </row>
    <row r="39" spans="1:7" x14ac:dyDescent="0.2">
      <c r="A39">
        <v>1850</v>
      </c>
      <c r="B39" s="2">
        <f t="shared" si="0"/>
        <v>-491.48861160969773</v>
      </c>
      <c r="C39" s="2">
        <f t="shared" si="1"/>
        <v>19.476325961854734</v>
      </c>
      <c r="D39">
        <v>7</v>
      </c>
      <c r="E39" s="2">
        <f t="shared" si="2"/>
        <v>15.368214285714286</v>
      </c>
      <c r="F39">
        <f t="shared" si="4"/>
        <v>1850</v>
      </c>
      <c r="G39" s="2">
        <f t="shared" si="3"/>
        <v>19.476325961854734</v>
      </c>
    </row>
    <row r="40" spans="1:7" x14ac:dyDescent="0.2">
      <c r="A40">
        <v>1900</v>
      </c>
      <c r="B40" s="2">
        <f t="shared" si="0"/>
        <v>-508.93361160969772</v>
      </c>
      <c r="C40" s="2">
        <f t="shared" si="1"/>
        <v>18.478563361349881</v>
      </c>
      <c r="D40">
        <v>7</v>
      </c>
      <c r="E40" s="2">
        <f t="shared" si="2"/>
        <v>15.783571428571429</v>
      </c>
      <c r="F40">
        <f t="shared" si="4"/>
        <v>1900</v>
      </c>
      <c r="G40" s="2">
        <f t="shared" si="3"/>
        <v>18.478563361349881</v>
      </c>
    </row>
    <row r="41" spans="1:7" x14ac:dyDescent="0.2">
      <c r="A41">
        <v>1950</v>
      </c>
      <c r="B41" s="2">
        <f t="shared" si="0"/>
        <v>-526.37861160969771</v>
      </c>
      <c r="C41" s="2">
        <f t="shared" si="1"/>
        <v>17.480800760845028</v>
      </c>
      <c r="D41">
        <v>7</v>
      </c>
      <c r="E41" s="2">
        <f t="shared" si="2"/>
        <v>16.198928571428571</v>
      </c>
      <c r="F41">
        <f t="shared" si="4"/>
        <v>1950</v>
      </c>
      <c r="G41" s="2">
        <f t="shared" si="3"/>
        <v>17.480800760845028</v>
      </c>
    </row>
    <row r="42" spans="1:7" x14ac:dyDescent="0.2">
      <c r="A42">
        <v>2000</v>
      </c>
      <c r="B42" s="2">
        <f t="shared" si="0"/>
        <v>-543.82361160969776</v>
      </c>
      <c r="C42" s="2">
        <f t="shared" si="1"/>
        <v>16.483038160340175</v>
      </c>
      <c r="D42">
        <v>7</v>
      </c>
      <c r="E42" s="2">
        <f t="shared" si="2"/>
        <v>16.614285714285714</v>
      </c>
      <c r="F42">
        <f t="shared" si="4"/>
        <v>2000</v>
      </c>
      <c r="G42" s="2">
        <f t="shared" si="3"/>
        <v>16.614285714285714</v>
      </c>
    </row>
    <row r="43" spans="1:7" x14ac:dyDescent="0.2">
      <c r="A43">
        <v>2050</v>
      </c>
      <c r="B43" s="2">
        <f t="shared" si="0"/>
        <v>-561.2686116096977</v>
      </c>
      <c r="C43" s="2">
        <f t="shared" si="1"/>
        <v>15.485275559835323</v>
      </c>
      <c r="D43">
        <v>7</v>
      </c>
      <c r="E43" s="2">
        <f t="shared" si="2"/>
        <v>17.029642857142857</v>
      </c>
      <c r="F43">
        <f t="shared" si="4"/>
        <v>2050</v>
      </c>
      <c r="G43" s="2">
        <f t="shared" si="3"/>
        <v>17.029642857142857</v>
      </c>
    </row>
    <row r="44" spans="1:7" x14ac:dyDescent="0.2">
      <c r="A44">
        <v>2100</v>
      </c>
      <c r="B44" s="2">
        <f t="shared" si="0"/>
        <v>-578.71361160969775</v>
      </c>
      <c r="C44" s="2">
        <f t="shared" si="1"/>
        <v>14.48751295933047</v>
      </c>
      <c r="D44">
        <v>7</v>
      </c>
      <c r="E44" s="2">
        <f t="shared" si="2"/>
        <v>17.445</v>
      </c>
      <c r="F44">
        <f t="shared" si="4"/>
        <v>2100</v>
      </c>
      <c r="G44" s="2">
        <f t="shared" si="3"/>
        <v>17.445</v>
      </c>
    </row>
    <row r="45" spans="1:7" x14ac:dyDescent="0.2">
      <c r="A45">
        <v>2150</v>
      </c>
      <c r="B45" s="2">
        <f t="shared" si="0"/>
        <v>-596.15861160969769</v>
      </c>
      <c r="C45" s="2">
        <f t="shared" si="1"/>
        <v>13.489750358825617</v>
      </c>
      <c r="D45">
        <v>7</v>
      </c>
      <c r="E45" s="2">
        <f t="shared" si="2"/>
        <v>17.860357142857143</v>
      </c>
      <c r="F45">
        <f t="shared" si="4"/>
        <v>2150</v>
      </c>
      <c r="G45" s="2">
        <f t="shared" si="3"/>
        <v>17.860357142857143</v>
      </c>
    </row>
    <row r="46" spans="1:7" x14ac:dyDescent="0.2">
      <c r="A46">
        <v>2200</v>
      </c>
      <c r="B46" s="2">
        <f t="shared" si="0"/>
        <v>-613.60361160969785</v>
      </c>
      <c r="C46" s="2">
        <f t="shared" si="1"/>
        <v>12.491987758320763</v>
      </c>
      <c r="D46">
        <v>7</v>
      </c>
      <c r="E46" s="2">
        <f t="shared" si="2"/>
        <v>18.275714285714287</v>
      </c>
      <c r="F46">
        <f t="shared" si="4"/>
        <v>2200</v>
      </c>
      <c r="G46" s="2">
        <f t="shared" si="3"/>
        <v>18.275714285714287</v>
      </c>
    </row>
    <row r="47" spans="1:7" x14ac:dyDescent="0.2">
      <c r="A47">
        <v>2250</v>
      </c>
      <c r="B47" s="2">
        <f t="shared" si="0"/>
        <v>-631.04861160969779</v>
      </c>
      <c r="C47" s="2">
        <f t="shared" si="1"/>
        <v>11.49422515781591</v>
      </c>
      <c r="D47">
        <v>7</v>
      </c>
      <c r="E47" s="2">
        <f t="shared" si="2"/>
        <v>18.69107142857143</v>
      </c>
      <c r="F47">
        <f t="shared" si="4"/>
        <v>2250</v>
      </c>
      <c r="G47" s="2">
        <f t="shared" si="3"/>
        <v>18.69107142857143</v>
      </c>
    </row>
    <row r="48" spans="1:7" x14ac:dyDescent="0.2">
      <c r="A48">
        <v>2300</v>
      </c>
      <c r="B48" s="2">
        <f t="shared" si="0"/>
        <v>-648.49361160969784</v>
      </c>
      <c r="C48" s="2">
        <f t="shared" si="1"/>
        <v>10.496462557311057</v>
      </c>
      <c r="D48">
        <v>7</v>
      </c>
      <c r="E48" s="2">
        <f t="shared" si="2"/>
        <v>19.10642857142857</v>
      </c>
      <c r="F48">
        <f t="shared" si="4"/>
        <v>2300</v>
      </c>
      <c r="G48" s="2">
        <f t="shared" si="3"/>
        <v>19.10642857142857</v>
      </c>
    </row>
    <row r="49" spans="1:7" x14ac:dyDescent="0.2">
      <c r="A49">
        <v>2350</v>
      </c>
      <c r="B49" s="2">
        <f t="shared" si="0"/>
        <v>-665.93861160969777</v>
      </c>
      <c r="C49" s="2">
        <f t="shared" si="1"/>
        <v>9.4986999568062043</v>
      </c>
      <c r="D49">
        <v>7</v>
      </c>
      <c r="E49" s="2">
        <f t="shared" si="2"/>
        <v>19.521785714285716</v>
      </c>
      <c r="F49">
        <f t="shared" si="4"/>
        <v>2350</v>
      </c>
      <c r="G49" s="2">
        <f t="shared" si="3"/>
        <v>19.521785714285716</v>
      </c>
    </row>
    <row r="50" spans="1:7" x14ac:dyDescent="0.2">
      <c r="A50">
        <v>2400</v>
      </c>
      <c r="B50" s="2">
        <f t="shared" si="0"/>
        <v>-683.38361160969782</v>
      </c>
      <c r="C50" s="2">
        <f t="shared" si="1"/>
        <v>8.5009373563013497</v>
      </c>
      <c r="D50">
        <v>7</v>
      </c>
      <c r="E50" s="2">
        <f t="shared" si="2"/>
        <v>19.937142857142856</v>
      </c>
      <c r="F50">
        <f t="shared" si="4"/>
        <v>2400</v>
      </c>
      <c r="G50" s="2">
        <f t="shared" si="3"/>
        <v>19.937142857142856</v>
      </c>
    </row>
    <row r="51" spans="1:7" x14ac:dyDescent="0.2">
      <c r="A51">
        <v>2450</v>
      </c>
      <c r="B51" s="2">
        <f t="shared" si="0"/>
        <v>-700.82861160969776</v>
      </c>
      <c r="C51" s="2">
        <f t="shared" si="1"/>
        <v>7.503174755796497</v>
      </c>
      <c r="D51">
        <v>7</v>
      </c>
      <c r="E51" s="2">
        <f t="shared" si="2"/>
        <v>20.352499999999999</v>
      </c>
      <c r="F51">
        <f t="shared" si="4"/>
        <v>2450</v>
      </c>
      <c r="G51" s="2">
        <f t="shared" si="3"/>
        <v>20.352499999999999</v>
      </c>
    </row>
    <row r="52" spans="1:7" x14ac:dyDescent="0.2">
      <c r="A52">
        <v>2500</v>
      </c>
      <c r="B52" s="2">
        <f t="shared" si="0"/>
        <v>-718.2736116096977</v>
      </c>
      <c r="C52" s="2">
        <f t="shared" si="1"/>
        <v>6.5054121552916433</v>
      </c>
      <c r="D52">
        <v>7</v>
      </c>
      <c r="E52" s="2">
        <f t="shared" si="2"/>
        <v>20.767857142857146</v>
      </c>
      <c r="F52">
        <f t="shared" si="4"/>
        <v>2500</v>
      </c>
      <c r="G52" s="2">
        <f t="shared" si="3"/>
        <v>20.767857142857146</v>
      </c>
    </row>
    <row r="53" spans="1:7" x14ac:dyDescent="0.2">
      <c r="A53">
        <v>2550</v>
      </c>
      <c r="B53" s="2">
        <f t="shared" si="0"/>
        <v>-735.71861160969763</v>
      </c>
      <c r="C53" s="2">
        <f t="shared" si="1"/>
        <v>5.5076495547867896</v>
      </c>
      <c r="D53">
        <v>7</v>
      </c>
      <c r="E53" s="2">
        <f t="shared" si="2"/>
        <v>21.183214285714286</v>
      </c>
      <c r="F53">
        <f t="shared" si="4"/>
        <v>2550</v>
      </c>
      <c r="G53" s="2">
        <f t="shared" si="3"/>
        <v>21.183214285714286</v>
      </c>
    </row>
    <row r="54" spans="1:7" x14ac:dyDescent="0.2">
      <c r="A54">
        <v>2600</v>
      </c>
      <c r="B54" s="2">
        <f t="shared" si="0"/>
        <v>-753.16361160969768</v>
      </c>
      <c r="C54" s="2">
        <f t="shared" si="1"/>
        <v>4.5098869542819369</v>
      </c>
      <c r="D54">
        <v>7</v>
      </c>
      <c r="E54" s="2">
        <f t="shared" si="2"/>
        <v>21.598571428571429</v>
      </c>
      <c r="F54">
        <f t="shared" si="4"/>
        <v>2600</v>
      </c>
      <c r="G54" s="2">
        <f t="shared" si="3"/>
        <v>21.598571428571429</v>
      </c>
    </row>
    <row r="55" spans="1:7" x14ac:dyDescent="0.2">
      <c r="A55">
        <v>2650</v>
      </c>
      <c r="B55" s="2">
        <f t="shared" si="0"/>
        <v>-770.60861160969762</v>
      </c>
      <c r="C55" s="2">
        <f t="shared" si="1"/>
        <v>3.5121243537770837</v>
      </c>
      <c r="D55">
        <v>7</v>
      </c>
      <c r="E55" s="2">
        <f t="shared" si="2"/>
        <v>22.013928571428572</v>
      </c>
      <c r="F55">
        <f t="shared" si="4"/>
        <v>2650</v>
      </c>
      <c r="G55" s="2">
        <f t="shared" si="3"/>
        <v>22.013928571428572</v>
      </c>
    </row>
    <row r="56" spans="1:7" x14ac:dyDescent="0.2">
      <c r="A56">
        <v>2700</v>
      </c>
      <c r="B56" s="2">
        <f t="shared" si="0"/>
        <v>-788.05361160969767</v>
      </c>
      <c r="C56" s="2">
        <f t="shared" si="1"/>
        <v>2.5143617532722304</v>
      </c>
      <c r="D56">
        <v>7</v>
      </c>
      <c r="E56" s="2">
        <f t="shared" si="2"/>
        <v>22.429285714285715</v>
      </c>
      <c r="F56">
        <f t="shared" si="4"/>
        <v>2700</v>
      </c>
      <c r="G56" s="2">
        <f t="shared" si="3"/>
        <v>22.429285714285715</v>
      </c>
    </row>
    <row r="57" spans="1:7" x14ac:dyDescent="0.2">
      <c r="A57">
        <v>2750</v>
      </c>
      <c r="B57" s="2">
        <f t="shared" si="0"/>
        <v>-805.4986116096976</v>
      </c>
      <c r="C57" s="2">
        <f t="shared" si="1"/>
        <v>1.5165991527673772</v>
      </c>
      <c r="D57">
        <v>7</v>
      </c>
      <c r="E57" s="2">
        <f t="shared" si="2"/>
        <v>22.844642857142855</v>
      </c>
      <c r="F57">
        <f t="shared" si="4"/>
        <v>2750</v>
      </c>
      <c r="G57" s="2">
        <f t="shared" si="3"/>
        <v>22.844642857142855</v>
      </c>
    </row>
    <row r="58" spans="1:7" x14ac:dyDescent="0.2">
      <c r="A58">
        <v>2800</v>
      </c>
      <c r="B58" s="2">
        <f t="shared" si="0"/>
        <v>-822.94361160969765</v>
      </c>
      <c r="C58" s="2">
        <f t="shared" si="1"/>
        <v>0.51883655226252368</v>
      </c>
      <c r="D58">
        <v>7</v>
      </c>
      <c r="E58" s="2">
        <f t="shared" si="2"/>
        <v>23.26</v>
      </c>
      <c r="F58">
        <f t="shared" si="4"/>
        <v>2800</v>
      </c>
      <c r="G58" s="2">
        <f t="shared" si="3"/>
        <v>23.26</v>
      </c>
    </row>
    <row r="59" spans="1:7" x14ac:dyDescent="0.2">
      <c r="A59">
        <v>2850</v>
      </c>
      <c r="B59" s="2">
        <f t="shared" si="0"/>
        <v>-840.38861160969759</v>
      </c>
      <c r="C59" s="2">
        <f t="shared" si="1"/>
        <v>-0.47892604824232954</v>
      </c>
      <c r="D59">
        <v>7</v>
      </c>
      <c r="E59" s="2">
        <f t="shared" si="2"/>
        <v>23.675357142857145</v>
      </c>
      <c r="F59">
        <f t="shared" si="4"/>
        <v>2850</v>
      </c>
      <c r="G59" s="2">
        <f t="shared" si="3"/>
        <v>23.675357142857145</v>
      </c>
    </row>
    <row r="60" spans="1:7" x14ac:dyDescent="0.2">
      <c r="A60">
        <v>2900</v>
      </c>
      <c r="B60" s="2">
        <f t="shared" si="0"/>
        <v>-857.83361160969764</v>
      </c>
      <c r="C60" s="2">
        <f t="shared" si="1"/>
        <v>-1.4766886487471826</v>
      </c>
      <c r="D60">
        <v>7</v>
      </c>
      <c r="E60" s="2">
        <f t="shared" si="2"/>
        <v>24.090714285714284</v>
      </c>
      <c r="F60">
        <f t="shared" si="4"/>
        <v>2900</v>
      </c>
      <c r="G60" s="2">
        <f t="shared" si="3"/>
        <v>24.090714285714284</v>
      </c>
    </row>
    <row r="61" spans="1:7" x14ac:dyDescent="0.2">
      <c r="A61">
        <v>2950</v>
      </c>
      <c r="B61" s="2">
        <f t="shared" si="0"/>
        <v>-875.27861160969758</v>
      </c>
      <c r="C61" s="2">
        <f t="shared" si="1"/>
        <v>-2.4744512492520361</v>
      </c>
      <c r="D61">
        <v>7</v>
      </c>
      <c r="E61" s="2">
        <f t="shared" si="2"/>
        <v>24.506071428571431</v>
      </c>
      <c r="F61">
        <f t="shared" si="4"/>
        <v>2950</v>
      </c>
      <c r="G61" s="2">
        <f t="shared" si="3"/>
        <v>24.506071428571431</v>
      </c>
    </row>
    <row r="62" spans="1:7" x14ac:dyDescent="0.2">
      <c r="A62">
        <v>3000</v>
      </c>
      <c r="B62" s="2">
        <f t="shared" si="0"/>
        <v>-892.72361160969763</v>
      </c>
      <c r="C62" s="2">
        <f t="shared" si="1"/>
        <v>-3.4722138497568893</v>
      </c>
      <c r="D62">
        <v>7</v>
      </c>
      <c r="E62" s="2">
        <f t="shared" si="2"/>
        <v>24.921428571428571</v>
      </c>
      <c r="F62">
        <f t="shared" si="4"/>
        <v>3000</v>
      </c>
      <c r="G62" s="2">
        <f t="shared" si="3"/>
        <v>24.921428571428571</v>
      </c>
    </row>
    <row r="63" spans="1:7" x14ac:dyDescent="0.2">
      <c r="A63">
        <v>3050</v>
      </c>
      <c r="B63" s="2">
        <f t="shared" si="0"/>
        <v>-910.16861160969756</v>
      </c>
      <c r="C63" s="2">
        <f t="shared" si="1"/>
        <v>-4.4699764502617425</v>
      </c>
      <c r="D63">
        <v>7</v>
      </c>
      <c r="E63" s="2">
        <f t="shared" si="2"/>
        <v>25.336785714285714</v>
      </c>
      <c r="F63">
        <f t="shared" si="4"/>
        <v>3050</v>
      </c>
      <c r="G63" s="2">
        <f t="shared" si="3"/>
        <v>25.336785714285714</v>
      </c>
    </row>
    <row r="64" spans="1:7" x14ac:dyDescent="0.2">
      <c r="A64">
        <v>3100</v>
      </c>
      <c r="B64" s="2">
        <f t="shared" si="0"/>
        <v>-927.61361160969773</v>
      </c>
      <c r="C64" s="2">
        <f t="shared" si="1"/>
        <v>-5.4677390507665962</v>
      </c>
      <c r="D64">
        <v>7</v>
      </c>
      <c r="E64" s="2">
        <f t="shared" si="2"/>
        <v>25.752142857142857</v>
      </c>
      <c r="F64">
        <f t="shared" si="4"/>
        <v>3100</v>
      </c>
      <c r="G64" s="2">
        <f t="shared" si="3"/>
        <v>25.752142857142857</v>
      </c>
    </row>
    <row r="65" spans="1:7" x14ac:dyDescent="0.2">
      <c r="A65">
        <v>3150</v>
      </c>
      <c r="B65" s="2">
        <f t="shared" si="0"/>
        <v>-945.05861160969778</v>
      </c>
      <c r="C65" s="2">
        <f t="shared" si="1"/>
        <v>-6.4655016512714489</v>
      </c>
      <c r="D65">
        <v>7</v>
      </c>
      <c r="E65" s="2">
        <f t="shared" si="2"/>
        <v>26.1675</v>
      </c>
      <c r="F65">
        <f t="shared" si="4"/>
        <v>3150</v>
      </c>
      <c r="G65" s="2">
        <f t="shared" si="3"/>
        <v>26.1675</v>
      </c>
    </row>
    <row r="66" spans="1:7" x14ac:dyDescent="0.2">
      <c r="A66">
        <v>3200</v>
      </c>
      <c r="B66" s="2">
        <f t="shared" ref="B66:B122" si="5">pw*cw*(Tecs-Tef)*(Qmax-A66)/Tmax</f>
        <v>-962.50361160969771</v>
      </c>
      <c r="C66" s="2">
        <f t="shared" ref="C66:C122" si="6">pw*cw*(Tecs-Tef)*(Qph-A66)/Tph</f>
        <v>-7.4632642517763026</v>
      </c>
      <c r="D66">
        <v>7</v>
      </c>
      <c r="E66" s="2">
        <f t="shared" ref="E66:E122" si="7">+pw*cw*(Tecs-Tef)*(A66/D66)</f>
        <v>26.582857142857144</v>
      </c>
      <c r="F66">
        <f t="shared" si="4"/>
        <v>3200</v>
      </c>
      <c r="G66" s="2">
        <f t="shared" si="3"/>
        <v>26.582857142857144</v>
      </c>
    </row>
    <row r="67" spans="1:7" x14ac:dyDescent="0.2">
      <c r="A67">
        <v>3250</v>
      </c>
      <c r="B67" s="2">
        <f t="shared" si="5"/>
        <v>-979.94861160969776</v>
      </c>
      <c r="C67" s="2">
        <f t="shared" si="6"/>
        <v>-8.4610268522811563</v>
      </c>
      <c r="D67">
        <v>7</v>
      </c>
      <c r="E67" s="2">
        <f t="shared" si="7"/>
        <v>26.998214285714287</v>
      </c>
      <c r="F67">
        <f t="shared" si="4"/>
        <v>3250</v>
      </c>
      <c r="G67" s="2">
        <f t="shared" ref="G67:G122" si="8">MAX(B67,C67,E67)</f>
        <v>26.998214285714287</v>
      </c>
    </row>
    <row r="68" spans="1:7" x14ac:dyDescent="0.2">
      <c r="A68">
        <v>3300</v>
      </c>
      <c r="B68" s="2">
        <f t="shared" si="5"/>
        <v>-997.3936116096977</v>
      </c>
      <c r="C68" s="2">
        <f t="shared" si="6"/>
        <v>-9.458789452786009</v>
      </c>
      <c r="D68">
        <v>7</v>
      </c>
      <c r="E68" s="2">
        <f t="shared" si="7"/>
        <v>27.41357142857143</v>
      </c>
      <c r="F68">
        <f t="shared" si="4"/>
        <v>3300</v>
      </c>
      <c r="G68" s="2">
        <f t="shared" si="8"/>
        <v>27.41357142857143</v>
      </c>
    </row>
    <row r="69" spans="1:7" x14ac:dyDescent="0.2">
      <c r="A69">
        <v>3350</v>
      </c>
      <c r="B69" s="2">
        <f t="shared" si="5"/>
        <v>-1014.8386116096978</v>
      </c>
      <c r="C69" s="2">
        <f t="shared" si="6"/>
        <v>-10.456552053290862</v>
      </c>
      <c r="D69">
        <v>7</v>
      </c>
      <c r="E69" s="2">
        <f t="shared" si="7"/>
        <v>27.82892857142857</v>
      </c>
      <c r="F69">
        <f t="shared" ref="F69:F122" si="9">IF(G69=" "," ",F68+50)</f>
        <v>3350</v>
      </c>
      <c r="G69" s="2">
        <f t="shared" si="8"/>
        <v>27.82892857142857</v>
      </c>
    </row>
    <row r="70" spans="1:7" x14ac:dyDescent="0.2">
      <c r="A70">
        <v>3400</v>
      </c>
      <c r="B70" s="2">
        <f t="shared" si="5"/>
        <v>-1032.2836116096978</v>
      </c>
      <c r="C70" s="2">
        <f t="shared" si="6"/>
        <v>-11.454314653795716</v>
      </c>
      <c r="D70">
        <v>7</v>
      </c>
      <c r="E70" s="2">
        <f t="shared" si="7"/>
        <v>28.244285714285716</v>
      </c>
      <c r="F70">
        <f t="shared" si="9"/>
        <v>3400</v>
      </c>
      <c r="G70" s="2">
        <f t="shared" si="8"/>
        <v>28.244285714285716</v>
      </c>
    </row>
    <row r="71" spans="1:7" x14ac:dyDescent="0.2">
      <c r="A71">
        <v>3450</v>
      </c>
      <c r="B71" s="2">
        <f t="shared" si="5"/>
        <v>-1049.7286116096977</v>
      </c>
      <c r="C71" s="2">
        <f t="shared" si="6"/>
        <v>-12.452077254300569</v>
      </c>
      <c r="D71">
        <v>7</v>
      </c>
      <c r="E71" s="2">
        <f t="shared" si="7"/>
        <v>28.659642857142856</v>
      </c>
      <c r="F71">
        <f t="shared" si="9"/>
        <v>3450</v>
      </c>
      <c r="G71" s="2">
        <f t="shared" si="8"/>
        <v>28.659642857142856</v>
      </c>
    </row>
    <row r="72" spans="1:7" x14ac:dyDescent="0.2">
      <c r="A72">
        <v>3500</v>
      </c>
      <c r="B72" s="2">
        <f t="shared" si="5"/>
        <v>-1067.1736116096977</v>
      </c>
      <c r="C72" s="2">
        <f t="shared" si="6"/>
        <v>-13.449839854805422</v>
      </c>
      <c r="D72">
        <v>7</v>
      </c>
      <c r="E72" s="2">
        <f t="shared" si="7"/>
        <v>29.074999999999999</v>
      </c>
      <c r="F72">
        <f t="shared" si="9"/>
        <v>3500</v>
      </c>
      <c r="G72" s="2">
        <f t="shared" si="8"/>
        <v>29.074999999999999</v>
      </c>
    </row>
    <row r="73" spans="1:7" x14ac:dyDescent="0.2">
      <c r="A73">
        <v>3550</v>
      </c>
      <c r="B73" s="2">
        <f t="shared" si="5"/>
        <v>-1084.6186116096978</v>
      </c>
      <c r="C73" s="2">
        <f t="shared" si="6"/>
        <v>-14.447602455310275</v>
      </c>
      <c r="D73">
        <v>7</v>
      </c>
      <c r="E73" s="2">
        <f t="shared" si="7"/>
        <v>29.490357142857146</v>
      </c>
      <c r="F73">
        <f t="shared" si="9"/>
        <v>3550</v>
      </c>
      <c r="G73" s="2">
        <f t="shared" si="8"/>
        <v>29.490357142857146</v>
      </c>
    </row>
    <row r="74" spans="1:7" x14ac:dyDescent="0.2">
      <c r="A74">
        <v>3600</v>
      </c>
      <c r="B74" s="2">
        <f t="shared" si="5"/>
        <v>-1102.0636116096978</v>
      </c>
      <c r="C74" s="2">
        <f t="shared" si="6"/>
        <v>-15.445365055815127</v>
      </c>
      <c r="D74">
        <v>7</v>
      </c>
      <c r="E74" s="2">
        <f t="shared" si="7"/>
        <v>29.905714285714289</v>
      </c>
      <c r="F74">
        <f t="shared" si="9"/>
        <v>3600</v>
      </c>
      <c r="G74" s="2">
        <f t="shared" si="8"/>
        <v>29.905714285714289</v>
      </c>
    </row>
    <row r="75" spans="1:7" x14ac:dyDescent="0.2">
      <c r="A75">
        <v>3650</v>
      </c>
      <c r="B75" s="2">
        <f t="shared" si="5"/>
        <v>-1119.5086116096977</v>
      </c>
      <c r="C75" s="2">
        <f t="shared" si="6"/>
        <v>-16.44312765631998</v>
      </c>
      <c r="D75">
        <v>7</v>
      </c>
      <c r="E75" s="2">
        <f t="shared" si="7"/>
        <v>30.321071428571429</v>
      </c>
      <c r="F75">
        <f t="shared" si="9"/>
        <v>3650</v>
      </c>
      <c r="G75" s="2">
        <f t="shared" si="8"/>
        <v>30.321071428571429</v>
      </c>
    </row>
    <row r="76" spans="1:7" x14ac:dyDescent="0.2">
      <c r="A76">
        <v>3700</v>
      </c>
      <c r="B76" s="2">
        <f t="shared" si="5"/>
        <v>-1136.9536116096976</v>
      </c>
      <c r="C76" s="2">
        <f t="shared" si="6"/>
        <v>-17.440890256824837</v>
      </c>
      <c r="D76">
        <v>7</v>
      </c>
      <c r="E76" s="2">
        <f t="shared" si="7"/>
        <v>30.736428571428572</v>
      </c>
      <c r="F76">
        <f t="shared" si="9"/>
        <v>3700</v>
      </c>
      <c r="G76" s="2">
        <f t="shared" si="8"/>
        <v>30.736428571428572</v>
      </c>
    </row>
    <row r="77" spans="1:7" x14ac:dyDescent="0.2">
      <c r="A77">
        <v>3750</v>
      </c>
      <c r="B77" s="2">
        <f t="shared" si="5"/>
        <v>-1154.3986116096978</v>
      </c>
      <c r="C77" s="2">
        <f t="shared" si="6"/>
        <v>-18.438652857329689</v>
      </c>
      <c r="D77">
        <v>7</v>
      </c>
      <c r="E77" s="2">
        <f t="shared" si="7"/>
        <v>31.151785714285712</v>
      </c>
      <c r="F77">
        <f t="shared" si="9"/>
        <v>3750</v>
      </c>
      <c r="G77" s="2">
        <f t="shared" si="8"/>
        <v>31.151785714285712</v>
      </c>
    </row>
    <row r="78" spans="1:7" x14ac:dyDescent="0.2">
      <c r="A78">
        <v>3800</v>
      </c>
      <c r="B78" s="2">
        <f t="shared" si="5"/>
        <v>-1171.8436116096977</v>
      </c>
      <c r="C78" s="2">
        <f t="shared" si="6"/>
        <v>-19.436415457834542</v>
      </c>
      <c r="D78">
        <v>7</v>
      </c>
      <c r="E78" s="2">
        <f t="shared" si="7"/>
        <v>31.567142857142859</v>
      </c>
      <c r="F78">
        <f t="shared" si="9"/>
        <v>3800</v>
      </c>
      <c r="G78" s="2">
        <f t="shared" si="8"/>
        <v>31.567142857142859</v>
      </c>
    </row>
    <row r="79" spans="1:7" x14ac:dyDescent="0.2">
      <c r="A79">
        <v>3850</v>
      </c>
      <c r="B79" s="2">
        <f t="shared" si="5"/>
        <v>-1189.2886116096977</v>
      </c>
      <c r="C79" s="2">
        <f t="shared" si="6"/>
        <v>-20.434178058339395</v>
      </c>
      <c r="D79">
        <v>7</v>
      </c>
      <c r="E79" s="2">
        <f t="shared" si="7"/>
        <v>31.982500000000002</v>
      </c>
      <c r="F79">
        <f t="shared" si="9"/>
        <v>3850</v>
      </c>
      <c r="G79" s="2">
        <f t="shared" si="8"/>
        <v>31.982500000000002</v>
      </c>
    </row>
    <row r="80" spans="1:7" x14ac:dyDescent="0.2">
      <c r="A80">
        <v>3900</v>
      </c>
      <c r="B80" s="2">
        <f t="shared" si="5"/>
        <v>-1206.7336116096976</v>
      </c>
      <c r="C80" s="2">
        <f t="shared" si="6"/>
        <v>-21.431940658844248</v>
      </c>
      <c r="D80">
        <v>7</v>
      </c>
      <c r="E80" s="2">
        <f t="shared" si="7"/>
        <v>32.397857142857141</v>
      </c>
      <c r="F80">
        <f t="shared" si="9"/>
        <v>3900</v>
      </c>
      <c r="G80" s="2">
        <f t="shared" si="8"/>
        <v>32.397857142857141</v>
      </c>
    </row>
    <row r="81" spans="1:7" x14ac:dyDescent="0.2">
      <c r="A81">
        <v>3950</v>
      </c>
      <c r="B81" s="2">
        <f t="shared" si="5"/>
        <v>-1224.1786116096978</v>
      </c>
      <c r="C81" s="2">
        <f t="shared" si="6"/>
        <v>-22.429703259349104</v>
      </c>
      <c r="D81">
        <v>7</v>
      </c>
      <c r="E81" s="2">
        <f t="shared" si="7"/>
        <v>32.813214285714288</v>
      </c>
      <c r="F81">
        <f t="shared" si="9"/>
        <v>3950</v>
      </c>
      <c r="G81" s="2">
        <f t="shared" si="8"/>
        <v>32.813214285714288</v>
      </c>
    </row>
    <row r="82" spans="1:7" x14ac:dyDescent="0.2">
      <c r="A82">
        <v>4000</v>
      </c>
      <c r="B82" s="2">
        <f t="shared" si="5"/>
        <v>-1241.6236116096977</v>
      </c>
      <c r="C82" s="2">
        <f t="shared" si="6"/>
        <v>-23.427465859853957</v>
      </c>
      <c r="D82">
        <v>7</v>
      </c>
      <c r="E82" s="2">
        <f t="shared" si="7"/>
        <v>33.228571428571428</v>
      </c>
      <c r="F82">
        <f t="shared" si="9"/>
        <v>4000</v>
      </c>
      <c r="G82" s="2">
        <f t="shared" si="8"/>
        <v>33.228571428571428</v>
      </c>
    </row>
    <row r="83" spans="1:7" x14ac:dyDescent="0.2">
      <c r="A83">
        <v>4050</v>
      </c>
      <c r="B83" s="2">
        <f t="shared" si="5"/>
        <v>-1259.0686116096977</v>
      </c>
      <c r="C83" s="2">
        <f t="shared" si="6"/>
        <v>-24.425228460358809</v>
      </c>
      <c r="D83">
        <v>7</v>
      </c>
      <c r="E83" s="2">
        <f t="shared" si="7"/>
        <v>33.643928571428567</v>
      </c>
      <c r="F83">
        <f t="shared" si="9"/>
        <v>4050</v>
      </c>
      <c r="G83" s="2">
        <f t="shared" si="8"/>
        <v>33.643928571428567</v>
      </c>
    </row>
    <row r="84" spans="1:7" x14ac:dyDescent="0.2">
      <c r="A84">
        <v>4100</v>
      </c>
      <c r="B84" s="2">
        <f t="shared" si="5"/>
        <v>-1276.5136116096976</v>
      </c>
      <c r="C84" s="2">
        <f t="shared" si="6"/>
        <v>-25.422991060863662</v>
      </c>
      <c r="D84">
        <v>7</v>
      </c>
      <c r="E84" s="2">
        <f t="shared" si="7"/>
        <v>34.059285714285714</v>
      </c>
      <c r="F84">
        <f t="shared" si="9"/>
        <v>4100</v>
      </c>
      <c r="G84" s="2">
        <f t="shared" si="8"/>
        <v>34.059285714285714</v>
      </c>
    </row>
    <row r="85" spans="1:7" x14ac:dyDescent="0.2">
      <c r="A85">
        <v>4150</v>
      </c>
      <c r="B85" s="2">
        <f t="shared" si="5"/>
        <v>-1293.9586116096978</v>
      </c>
      <c r="C85" s="2">
        <f t="shared" si="6"/>
        <v>-26.420753661368515</v>
      </c>
      <c r="D85">
        <v>7</v>
      </c>
      <c r="E85" s="2">
        <f t="shared" si="7"/>
        <v>34.474642857142861</v>
      </c>
      <c r="F85">
        <f t="shared" si="9"/>
        <v>4150</v>
      </c>
      <c r="G85" s="2">
        <f t="shared" si="8"/>
        <v>34.474642857142861</v>
      </c>
    </row>
    <row r="86" spans="1:7" x14ac:dyDescent="0.2">
      <c r="A86">
        <v>4200</v>
      </c>
      <c r="B86" s="2">
        <f t="shared" si="5"/>
        <v>-1311.4036116096977</v>
      </c>
      <c r="C86" s="2">
        <f t="shared" si="6"/>
        <v>-27.418516261873368</v>
      </c>
      <c r="D86">
        <v>7</v>
      </c>
      <c r="E86" s="2">
        <f t="shared" si="7"/>
        <v>34.89</v>
      </c>
      <c r="F86">
        <f t="shared" si="9"/>
        <v>4200</v>
      </c>
      <c r="G86" s="2">
        <f t="shared" si="8"/>
        <v>34.89</v>
      </c>
    </row>
    <row r="87" spans="1:7" x14ac:dyDescent="0.2">
      <c r="A87">
        <v>4250</v>
      </c>
      <c r="B87" s="2">
        <f t="shared" si="5"/>
        <v>-1328.8486116096976</v>
      </c>
      <c r="C87" s="2">
        <f t="shared" si="6"/>
        <v>-28.416278862378221</v>
      </c>
      <c r="D87">
        <v>7</v>
      </c>
      <c r="E87" s="2">
        <f t="shared" si="7"/>
        <v>35.30535714285714</v>
      </c>
      <c r="F87">
        <f t="shared" si="9"/>
        <v>4250</v>
      </c>
      <c r="G87" s="2">
        <f t="shared" si="8"/>
        <v>35.30535714285714</v>
      </c>
    </row>
    <row r="88" spans="1:7" x14ac:dyDescent="0.2">
      <c r="A88">
        <v>4300</v>
      </c>
      <c r="B88" s="2">
        <f t="shared" si="5"/>
        <v>-1346.2936116096978</v>
      </c>
      <c r="C88" s="2">
        <f t="shared" si="6"/>
        <v>-29.414041462883073</v>
      </c>
      <c r="D88">
        <v>7</v>
      </c>
      <c r="E88" s="2">
        <f t="shared" si="7"/>
        <v>35.720714285714287</v>
      </c>
      <c r="F88">
        <f t="shared" si="9"/>
        <v>4300</v>
      </c>
      <c r="G88" s="2">
        <f t="shared" si="8"/>
        <v>35.720714285714287</v>
      </c>
    </row>
    <row r="89" spans="1:7" x14ac:dyDescent="0.2">
      <c r="A89">
        <v>4350</v>
      </c>
      <c r="B89" s="2">
        <f t="shared" si="5"/>
        <v>-1363.7386116096977</v>
      </c>
      <c r="C89" s="2">
        <f t="shared" si="6"/>
        <v>-30.411804063387926</v>
      </c>
      <c r="D89">
        <v>7</v>
      </c>
      <c r="E89" s="2">
        <f t="shared" si="7"/>
        <v>36.136071428571427</v>
      </c>
      <c r="F89">
        <f t="shared" si="9"/>
        <v>4350</v>
      </c>
      <c r="G89" s="2">
        <f t="shared" si="8"/>
        <v>36.136071428571427</v>
      </c>
    </row>
    <row r="90" spans="1:7" x14ac:dyDescent="0.2">
      <c r="A90">
        <v>4400</v>
      </c>
      <c r="B90" s="2">
        <f t="shared" si="5"/>
        <v>-1381.1836116096979</v>
      </c>
      <c r="C90" s="2">
        <f t="shared" si="6"/>
        <v>-31.409566663892779</v>
      </c>
      <c r="D90">
        <v>7</v>
      </c>
      <c r="E90" s="2">
        <f t="shared" si="7"/>
        <v>36.551428571428573</v>
      </c>
      <c r="F90">
        <f t="shared" si="9"/>
        <v>4400</v>
      </c>
      <c r="G90" s="2">
        <f t="shared" si="8"/>
        <v>36.551428571428573</v>
      </c>
    </row>
    <row r="91" spans="1:7" x14ac:dyDescent="0.2">
      <c r="A91">
        <v>4450</v>
      </c>
      <c r="B91" s="2">
        <f t="shared" si="5"/>
        <v>-1398.6286116096978</v>
      </c>
      <c r="C91" s="2">
        <f t="shared" si="6"/>
        <v>-32.407329264397632</v>
      </c>
      <c r="D91">
        <v>7</v>
      </c>
      <c r="E91" s="2">
        <f t="shared" si="7"/>
        <v>36.966785714285713</v>
      </c>
      <c r="F91">
        <f t="shared" si="9"/>
        <v>4450</v>
      </c>
      <c r="G91" s="2">
        <f t="shared" si="8"/>
        <v>36.966785714285713</v>
      </c>
    </row>
    <row r="92" spans="1:7" x14ac:dyDescent="0.2">
      <c r="A92">
        <v>4500</v>
      </c>
      <c r="B92" s="2">
        <f t="shared" si="5"/>
        <v>-1416.0736116096978</v>
      </c>
      <c r="C92" s="2">
        <f t="shared" si="6"/>
        <v>-33.405091864902488</v>
      </c>
      <c r="D92">
        <v>7</v>
      </c>
      <c r="E92" s="2">
        <f t="shared" si="7"/>
        <v>37.38214285714286</v>
      </c>
      <c r="F92">
        <f t="shared" si="9"/>
        <v>4500</v>
      </c>
      <c r="G92" s="2">
        <f t="shared" si="8"/>
        <v>37.38214285714286</v>
      </c>
    </row>
    <row r="93" spans="1:7" x14ac:dyDescent="0.2">
      <c r="A93">
        <v>4550</v>
      </c>
      <c r="B93" s="2">
        <f t="shared" si="5"/>
        <v>-1433.5186116096977</v>
      </c>
      <c r="C93" s="2">
        <f t="shared" si="6"/>
        <v>-34.402854465407344</v>
      </c>
      <c r="D93">
        <v>7</v>
      </c>
      <c r="E93" s="2">
        <f t="shared" si="7"/>
        <v>37.797499999999999</v>
      </c>
      <c r="F93">
        <f t="shared" si="9"/>
        <v>4550</v>
      </c>
      <c r="G93" s="2">
        <f t="shared" si="8"/>
        <v>37.797499999999999</v>
      </c>
    </row>
    <row r="94" spans="1:7" x14ac:dyDescent="0.2">
      <c r="A94">
        <v>4600</v>
      </c>
      <c r="B94" s="2">
        <f t="shared" si="5"/>
        <v>-1450.9636116096979</v>
      </c>
      <c r="C94" s="2">
        <f t="shared" si="6"/>
        <v>-35.400617065912193</v>
      </c>
      <c r="D94">
        <v>7</v>
      </c>
      <c r="E94" s="2">
        <f t="shared" si="7"/>
        <v>38.212857142857139</v>
      </c>
      <c r="F94">
        <f t="shared" si="9"/>
        <v>4600</v>
      </c>
      <c r="G94" s="2">
        <f t="shared" si="8"/>
        <v>38.212857142857139</v>
      </c>
    </row>
    <row r="95" spans="1:7" x14ac:dyDescent="0.2">
      <c r="A95">
        <v>4650</v>
      </c>
      <c r="B95" s="2">
        <f t="shared" si="5"/>
        <v>-1468.4086116096978</v>
      </c>
      <c r="C95" s="2">
        <f t="shared" si="6"/>
        <v>-36.39837966641705</v>
      </c>
      <c r="D95">
        <v>7</v>
      </c>
      <c r="E95" s="2">
        <f t="shared" si="7"/>
        <v>38.628214285714286</v>
      </c>
      <c r="F95">
        <f t="shared" si="9"/>
        <v>4650</v>
      </c>
      <c r="G95" s="2">
        <f t="shared" si="8"/>
        <v>38.628214285714286</v>
      </c>
    </row>
    <row r="96" spans="1:7" x14ac:dyDescent="0.2">
      <c r="A96">
        <v>4700</v>
      </c>
      <c r="B96" s="2">
        <f t="shared" si="5"/>
        <v>-1485.8536116096977</v>
      </c>
      <c r="C96" s="2">
        <f t="shared" si="6"/>
        <v>-37.396142266921899</v>
      </c>
      <c r="D96">
        <v>7</v>
      </c>
      <c r="E96" s="2">
        <f t="shared" si="7"/>
        <v>39.043571428571433</v>
      </c>
      <c r="F96">
        <f t="shared" si="9"/>
        <v>4700</v>
      </c>
      <c r="G96" s="2">
        <f t="shared" si="8"/>
        <v>39.043571428571433</v>
      </c>
    </row>
    <row r="97" spans="1:7" x14ac:dyDescent="0.2">
      <c r="A97">
        <v>4750</v>
      </c>
      <c r="B97" s="2">
        <f t="shared" si="5"/>
        <v>-1503.2986116096977</v>
      </c>
      <c r="C97" s="2">
        <f t="shared" si="6"/>
        <v>-38.393904867426755</v>
      </c>
      <c r="D97">
        <v>7</v>
      </c>
      <c r="E97" s="2">
        <f t="shared" si="7"/>
        <v>39.458928571428572</v>
      </c>
      <c r="F97">
        <f t="shared" si="9"/>
        <v>4750</v>
      </c>
      <c r="G97" s="2">
        <f t="shared" si="8"/>
        <v>39.458928571428572</v>
      </c>
    </row>
    <row r="98" spans="1:7" x14ac:dyDescent="0.2">
      <c r="A98">
        <v>4800</v>
      </c>
      <c r="B98" s="2">
        <f t="shared" si="5"/>
        <v>-1520.7436116096978</v>
      </c>
      <c r="C98" s="2">
        <f t="shared" si="6"/>
        <v>-39.391667467931605</v>
      </c>
      <c r="D98">
        <v>7</v>
      </c>
      <c r="E98" s="2">
        <f t="shared" si="7"/>
        <v>39.874285714285712</v>
      </c>
      <c r="F98">
        <f t="shared" si="9"/>
        <v>4800</v>
      </c>
      <c r="G98" s="2">
        <f t="shared" si="8"/>
        <v>39.874285714285712</v>
      </c>
    </row>
    <row r="99" spans="1:7" x14ac:dyDescent="0.2">
      <c r="A99">
        <v>4850</v>
      </c>
      <c r="B99" s="2">
        <f t="shared" si="5"/>
        <v>-1538.1886116096978</v>
      </c>
      <c r="C99" s="2">
        <f t="shared" si="6"/>
        <v>-40.389430068436461</v>
      </c>
      <c r="D99">
        <v>7</v>
      </c>
      <c r="E99" s="2">
        <f t="shared" si="7"/>
        <v>40.289642857142859</v>
      </c>
      <c r="F99">
        <f t="shared" si="9"/>
        <v>4850</v>
      </c>
      <c r="G99" s="2">
        <f t="shared" si="8"/>
        <v>40.289642857142859</v>
      </c>
    </row>
    <row r="100" spans="1:7" x14ac:dyDescent="0.2">
      <c r="A100">
        <v>4900</v>
      </c>
      <c r="B100" s="2">
        <f t="shared" si="5"/>
        <v>-1555.6336116096975</v>
      </c>
      <c r="C100" s="2">
        <f t="shared" si="6"/>
        <v>-41.38719266894131</v>
      </c>
      <c r="D100">
        <v>7</v>
      </c>
      <c r="E100" s="2">
        <f t="shared" si="7"/>
        <v>40.704999999999998</v>
      </c>
      <c r="F100">
        <f t="shared" si="9"/>
        <v>4900</v>
      </c>
      <c r="G100" s="2">
        <f t="shared" si="8"/>
        <v>40.704999999999998</v>
      </c>
    </row>
    <row r="101" spans="1:7" x14ac:dyDescent="0.2">
      <c r="A101">
        <v>4950</v>
      </c>
      <c r="B101" s="2">
        <f t="shared" si="5"/>
        <v>-1573.0786116096976</v>
      </c>
      <c r="C101" s="2">
        <f t="shared" si="6"/>
        <v>-42.384955269446166</v>
      </c>
      <c r="D101">
        <v>7</v>
      </c>
      <c r="E101" s="2">
        <f t="shared" si="7"/>
        <v>41.120357142857138</v>
      </c>
      <c r="F101">
        <f t="shared" si="9"/>
        <v>4950</v>
      </c>
      <c r="G101" s="2">
        <f t="shared" si="8"/>
        <v>41.120357142857138</v>
      </c>
    </row>
    <row r="102" spans="1:7" x14ac:dyDescent="0.2">
      <c r="A102">
        <v>5000</v>
      </c>
      <c r="B102" s="2">
        <f t="shared" si="5"/>
        <v>-1590.5236116096978</v>
      </c>
      <c r="C102" s="2">
        <f t="shared" si="6"/>
        <v>-43.382717869951016</v>
      </c>
      <c r="D102">
        <v>7</v>
      </c>
      <c r="E102" s="2">
        <f t="shared" si="7"/>
        <v>41.535714285714292</v>
      </c>
      <c r="F102">
        <f t="shared" si="9"/>
        <v>5000</v>
      </c>
      <c r="G102" s="2">
        <f t="shared" si="8"/>
        <v>41.535714285714292</v>
      </c>
    </row>
    <row r="103" spans="1:7" x14ac:dyDescent="0.2">
      <c r="A103">
        <v>5050</v>
      </c>
      <c r="B103" s="2">
        <f t="shared" si="5"/>
        <v>-1607.9686116096977</v>
      </c>
      <c r="C103" s="2">
        <f t="shared" si="6"/>
        <v>-44.380480470455879</v>
      </c>
      <c r="D103">
        <v>7</v>
      </c>
      <c r="E103" s="2">
        <f t="shared" si="7"/>
        <v>41.951071428571431</v>
      </c>
      <c r="F103">
        <f t="shared" si="9"/>
        <v>5050</v>
      </c>
      <c r="G103" s="2">
        <f t="shared" si="8"/>
        <v>41.951071428571431</v>
      </c>
    </row>
    <row r="104" spans="1:7" x14ac:dyDescent="0.2">
      <c r="A104">
        <v>5100</v>
      </c>
      <c r="B104" s="2">
        <f t="shared" si="5"/>
        <v>-1625.4136116096979</v>
      </c>
      <c r="C104" s="2">
        <f t="shared" si="6"/>
        <v>-45.378243070960728</v>
      </c>
      <c r="D104">
        <v>7</v>
      </c>
      <c r="E104" s="2">
        <f t="shared" si="7"/>
        <v>42.366428571428571</v>
      </c>
      <c r="F104">
        <f t="shared" si="9"/>
        <v>5100</v>
      </c>
      <c r="G104" s="2">
        <f t="shared" si="8"/>
        <v>42.366428571428571</v>
      </c>
    </row>
    <row r="105" spans="1:7" x14ac:dyDescent="0.2">
      <c r="A105">
        <v>5150</v>
      </c>
      <c r="B105" s="2">
        <f t="shared" si="5"/>
        <v>-1642.8586116096976</v>
      </c>
      <c r="C105" s="2">
        <f t="shared" si="6"/>
        <v>-46.376005671465585</v>
      </c>
      <c r="D105">
        <v>7</v>
      </c>
      <c r="E105" s="2">
        <f t="shared" si="7"/>
        <v>42.781785714285711</v>
      </c>
      <c r="F105">
        <f t="shared" si="9"/>
        <v>5150</v>
      </c>
      <c r="G105" s="2">
        <f t="shared" si="8"/>
        <v>42.781785714285711</v>
      </c>
    </row>
    <row r="106" spans="1:7" x14ac:dyDescent="0.2">
      <c r="A106">
        <v>5200</v>
      </c>
      <c r="B106" s="2">
        <f t="shared" si="5"/>
        <v>-1660.3036116096978</v>
      </c>
      <c r="C106" s="2">
        <f t="shared" si="6"/>
        <v>-47.373768271970434</v>
      </c>
      <c r="D106">
        <v>7</v>
      </c>
      <c r="E106" s="2">
        <f t="shared" si="7"/>
        <v>43.197142857142858</v>
      </c>
      <c r="F106">
        <f t="shared" si="9"/>
        <v>5200</v>
      </c>
      <c r="G106" s="2">
        <f t="shared" si="8"/>
        <v>43.197142857142858</v>
      </c>
    </row>
    <row r="107" spans="1:7" x14ac:dyDescent="0.2">
      <c r="A107">
        <v>5250</v>
      </c>
      <c r="B107" s="2">
        <f t="shared" si="5"/>
        <v>-1677.7486116096977</v>
      </c>
      <c r="C107" s="2">
        <f t="shared" si="6"/>
        <v>-48.37153087247529</v>
      </c>
      <c r="D107">
        <v>7</v>
      </c>
      <c r="E107" s="2">
        <f t="shared" si="7"/>
        <v>43.612499999999997</v>
      </c>
      <c r="F107">
        <f t="shared" si="9"/>
        <v>5250</v>
      </c>
      <c r="G107" s="2">
        <f t="shared" si="8"/>
        <v>43.612499999999997</v>
      </c>
    </row>
    <row r="108" spans="1:7" x14ac:dyDescent="0.2">
      <c r="A108">
        <v>5300</v>
      </c>
      <c r="B108" s="2">
        <f t="shared" si="5"/>
        <v>-1695.1936116096979</v>
      </c>
      <c r="C108" s="2">
        <f t="shared" si="6"/>
        <v>-49.369293472980139</v>
      </c>
      <c r="D108">
        <v>7</v>
      </c>
      <c r="E108" s="2">
        <f t="shared" si="7"/>
        <v>44.027857142857144</v>
      </c>
      <c r="F108">
        <f t="shared" si="9"/>
        <v>5300</v>
      </c>
      <c r="G108" s="2">
        <f t="shared" si="8"/>
        <v>44.027857142857144</v>
      </c>
    </row>
    <row r="109" spans="1:7" x14ac:dyDescent="0.2">
      <c r="A109">
        <v>5350</v>
      </c>
      <c r="B109" s="2">
        <f t="shared" si="5"/>
        <v>-1712.6386116096976</v>
      </c>
      <c r="C109" s="2">
        <f t="shared" si="6"/>
        <v>-50.367056073484996</v>
      </c>
      <c r="D109">
        <v>7</v>
      </c>
      <c r="E109" s="2">
        <f t="shared" si="7"/>
        <v>44.443214285714291</v>
      </c>
      <c r="F109">
        <f t="shared" si="9"/>
        <v>5350</v>
      </c>
      <c r="G109" s="2">
        <f t="shared" si="8"/>
        <v>44.443214285714291</v>
      </c>
    </row>
    <row r="110" spans="1:7" x14ac:dyDescent="0.2">
      <c r="A110">
        <v>5400</v>
      </c>
      <c r="B110" s="2">
        <f t="shared" si="5"/>
        <v>-1730.0836116096978</v>
      </c>
      <c r="C110" s="2">
        <f t="shared" si="6"/>
        <v>-51.364818673989845</v>
      </c>
      <c r="D110">
        <v>7</v>
      </c>
      <c r="E110" s="2">
        <f t="shared" si="7"/>
        <v>44.85857142857143</v>
      </c>
      <c r="F110">
        <f t="shared" si="9"/>
        <v>5400</v>
      </c>
      <c r="G110" s="2">
        <f t="shared" si="8"/>
        <v>44.85857142857143</v>
      </c>
    </row>
    <row r="111" spans="1:7" x14ac:dyDescent="0.2">
      <c r="A111">
        <v>5450</v>
      </c>
      <c r="B111" s="2">
        <f t="shared" si="5"/>
        <v>-1747.5286116096977</v>
      </c>
      <c r="C111" s="2">
        <f t="shared" si="6"/>
        <v>-52.362581274494701</v>
      </c>
      <c r="D111">
        <v>7</v>
      </c>
      <c r="E111" s="2">
        <f t="shared" si="7"/>
        <v>45.27392857142857</v>
      </c>
      <c r="F111">
        <f t="shared" si="9"/>
        <v>5450</v>
      </c>
      <c r="G111" s="2">
        <f t="shared" si="8"/>
        <v>45.27392857142857</v>
      </c>
    </row>
    <row r="112" spans="1:7" x14ac:dyDescent="0.2">
      <c r="A112">
        <v>5500</v>
      </c>
      <c r="B112" s="2">
        <f t="shared" si="5"/>
        <v>-1764.9736116096979</v>
      </c>
      <c r="C112" s="2">
        <f t="shared" si="6"/>
        <v>-53.36034387499955</v>
      </c>
      <c r="D112">
        <v>7</v>
      </c>
      <c r="E112" s="2">
        <f t="shared" si="7"/>
        <v>45.68928571428571</v>
      </c>
      <c r="F112">
        <f t="shared" si="9"/>
        <v>5500</v>
      </c>
      <c r="G112" s="2">
        <f t="shared" si="8"/>
        <v>45.68928571428571</v>
      </c>
    </row>
    <row r="113" spans="1:7" x14ac:dyDescent="0.2">
      <c r="A113">
        <v>5550</v>
      </c>
      <c r="B113" s="2">
        <f t="shared" si="5"/>
        <v>-1782.4186116096976</v>
      </c>
      <c r="C113" s="2">
        <f t="shared" si="6"/>
        <v>-54.358106475504407</v>
      </c>
      <c r="D113">
        <v>7</v>
      </c>
      <c r="E113" s="2">
        <f t="shared" si="7"/>
        <v>46.104642857142856</v>
      </c>
      <c r="F113">
        <f t="shared" si="9"/>
        <v>5550</v>
      </c>
      <c r="G113" s="2">
        <f t="shared" si="8"/>
        <v>46.104642857142856</v>
      </c>
    </row>
    <row r="114" spans="1:7" x14ac:dyDescent="0.2">
      <c r="A114">
        <v>5600</v>
      </c>
      <c r="B114" s="2">
        <f t="shared" si="5"/>
        <v>-1799.8636116096977</v>
      </c>
      <c r="C114" s="2">
        <f t="shared" si="6"/>
        <v>-55.355869076009256</v>
      </c>
      <c r="D114">
        <v>7</v>
      </c>
      <c r="E114" s="2">
        <f t="shared" si="7"/>
        <v>46.52</v>
      </c>
      <c r="F114">
        <f t="shared" si="9"/>
        <v>5600</v>
      </c>
      <c r="G114" s="2">
        <f t="shared" si="8"/>
        <v>46.52</v>
      </c>
    </row>
    <row r="115" spans="1:7" x14ac:dyDescent="0.2">
      <c r="A115">
        <v>5650</v>
      </c>
      <c r="B115" s="2">
        <f t="shared" si="5"/>
        <v>-1817.3086116096977</v>
      </c>
      <c r="C115" s="2">
        <f t="shared" si="6"/>
        <v>-56.353631676514112</v>
      </c>
      <c r="D115">
        <v>7</v>
      </c>
      <c r="E115" s="2">
        <f t="shared" si="7"/>
        <v>46.935357142857143</v>
      </c>
      <c r="F115">
        <f t="shared" si="9"/>
        <v>5650</v>
      </c>
      <c r="G115" s="2">
        <f t="shared" si="8"/>
        <v>46.935357142857143</v>
      </c>
    </row>
    <row r="116" spans="1:7" x14ac:dyDescent="0.2">
      <c r="A116">
        <v>5700</v>
      </c>
      <c r="B116" s="2">
        <f t="shared" si="5"/>
        <v>-1834.7536116096978</v>
      </c>
      <c r="C116" s="2">
        <f t="shared" si="6"/>
        <v>-57.351394277018962</v>
      </c>
      <c r="D116">
        <v>7</v>
      </c>
      <c r="E116" s="2">
        <f t="shared" si="7"/>
        <v>47.35071428571429</v>
      </c>
      <c r="F116">
        <f t="shared" si="9"/>
        <v>5700</v>
      </c>
      <c r="G116" s="2">
        <f t="shared" si="8"/>
        <v>47.35071428571429</v>
      </c>
    </row>
    <row r="117" spans="1:7" x14ac:dyDescent="0.2">
      <c r="A117">
        <v>5750</v>
      </c>
      <c r="B117" s="2">
        <f t="shared" si="5"/>
        <v>-1852.1986116096975</v>
      </c>
      <c r="C117" s="2">
        <f t="shared" si="6"/>
        <v>-58.349156877523818</v>
      </c>
      <c r="D117">
        <v>7</v>
      </c>
      <c r="E117" s="2">
        <f t="shared" si="7"/>
        <v>47.766071428571429</v>
      </c>
      <c r="F117">
        <f t="shared" si="9"/>
        <v>5750</v>
      </c>
      <c r="G117" s="2">
        <f t="shared" si="8"/>
        <v>47.766071428571429</v>
      </c>
    </row>
    <row r="118" spans="1:7" x14ac:dyDescent="0.2">
      <c r="A118">
        <v>5800</v>
      </c>
      <c r="B118" s="2">
        <f t="shared" si="5"/>
        <v>-1869.6436116096977</v>
      </c>
      <c r="C118" s="2">
        <f t="shared" si="6"/>
        <v>-59.346919478028667</v>
      </c>
      <c r="D118">
        <v>7</v>
      </c>
      <c r="E118" s="2">
        <f t="shared" si="7"/>
        <v>48.181428571428569</v>
      </c>
      <c r="F118">
        <f t="shared" si="9"/>
        <v>5800</v>
      </c>
      <c r="G118" s="2">
        <f t="shared" si="8"/>
        <v>48.181428571428569</v>
      </c>
    </row>
    <row r="119" spans="1:7" x14ac:dyDescent="0.2">
      <c r="A119">
        <v>5850</v>
      </c>
      <c r="B119" s="2">
        <f t="shared" si="5"/>
        <v>-1887.0886116096976</v>
      </c>
      <c r="C119" s="2">
        <f t="shared" si="6"/>
        <v>-60.344682078533523</v>
      </c>
      <c r="D119">
        <v>7</v>
      </c>
      <c r="E119" s="2">
        <f t="shared" si="7"/>
        <v>48.596785714285708</v>
      </c>
      <c r="F119">
        <f t="shared" si="9"/>
        <v>5850</v>
      </c>
      <c r="G119" s="2">
        <f t="shared" si="8"/>
        <v>48.596785714285708</v>
      </c>
    </row>
    <row r="120" spans="1:7" x14ac:dyDescent="0.2">
      <c r="A120">
        <v>5900</v>
      </c>
      <c r="B120" s="2">
        <f t="shared" si="5"/>
        <v>-1904.5336116096978</v>
      </c>
      <c r="C120" s="2">
        <f t="shared" si="6"/>
        <v>-61.342444679038373</v>
      </c>
      <c r="D120">
        <v>7</v>
      </c>
      <c r="E120" s="2">
        <f t="shared" si="7"/>
        <v>49.012142857142862</v>
      </c>
      <c r="F120">
        <f t="shared" si="9"/>
        <v>5900</v>
      </c>
      <c r="G120" s="2">
        <f t="shared" si="8"/>
        <v>49.012142857142862</v>
      </c>
    </row>
    <row r="121" spans="1:7" x14ac:dyDescent="0.2">
      <c r="A121">
        <v>5950</v>
      </c>
      <c r="B121" s="2">
        <f t="shared" si="5"/>
        <v>-1921.9786116096975</v>
      </c>
      <c r="C121" s="2">
        <f t="shared" si="6"/>
        <v>-62.340207279543229</v>
      </c>
      <c r="D121">
        <v>7</v>
      </c>
      <c r="E121" s="2">
        <f t="shared" si="7"/>
        <v>49.427500000000002</v>
      </c>
      <c r="F121">
        <f t="shared" si="9"/>
        <v>5950</v>
      </c>
      <c r="G121" s="2">
        <f t="shared" si="8"/>
        <v>49.427500000000002</v>
      </c>
    </row>
    <row r="122" spans="1:7" x14ac:dyDescent="0.2">
      <c r="A122">
        <v>6000</v>
      </c>
      <c r="B122" s="2">
        <f t="shared" si="5"/>
        <v>-1939.4236116096977</v>
      </c>
      <c r="C122" s="2">
        <f t="shared" si="6"/>
        <v>-63.337969880048078</v>
      </c>
      <c r="D122">
        <v>7</v>
      </c>
      <c r="E122" s="2">
        <f t="shared" si="7"/>
        <v>49.842857142857142</v>
      </c>
      <c r="F122">
        <f t="shared" si="9"/>
        <v>6000</v>
      </c>
      <c r="G122" s="2">
        <f t="shared" si="8"/>
        <v>49.842857142857142</v>
      </c>
    </row>
    <row r="123" spans="1:7" x14ac:dyDescent="0.2">
      <c r="B123" s="2"/>
      <c r="C123" s="2"/>
      <c r="E123" s="2"/>
      <c r="G123" s="2"/>
    </row>
    <row r="124" spans="1:7" x14ac:dyDescent="0.2">
      <c r="B124" s="2"/>
      <c r="C124" s="2"/>
      <c r="E124" s="2"/>
      <c r="G124" s="2"/>
    </row>
    <row r="125" spans="1:7" x14ac:dyDescent="0.2">
      <c r="B125" s="2"/>
      <c r="C125" s="2"/>
      <c r="E125" s="2"/>
      <c r="G125" s="2"/>
    </row>
    <row r="126" spans="1:7" x14ac:dyDescent="0.2">
      <c r="B126" s="2"/>
      <c r="C126" s="2"/>
      <c r="E126" s="2"/>
      <c r="G126" s="2"/>
    </row>
    <row r="127" spans="1:7" x14ac:dyDescent="0.2">
      <c r="B127" s="2"/>
      <c r="C127" s="2"/>
      <c r="E127" s="2"/>
      <c r="G127" s="2"/>
    </row>
    <row r="128" spans="1:7" x14ac:dyDescent="0.2">
      <c r="B128" s="2"/>
      <c r="C128" s="2"/>
      <c r="E128" s="2"/>
      <c r="G128" s="2"/>
    </row>
    <row r="129" spans="2:7" x14ac:dyDescent="0.2">
      <c r="B129" s="2"/>
      <c r="C129" s="2"/>
      <c r="E129" s="2"/>
      <c r="G129" s="2"/>
    </row>
    <row r="130" spans="2:7" x14ac:dyDescent="0.2">
      <c r="B130" s="2"/>
      <c r="C130" s="2"/>
      <c r="E130" s="2"/>
      <c r="G130" s="2"/>
    </row>
    <row r="131" spans="2:7" x14ac:dyDescent="0.2">
      <c r="B131" s="2"/>
      <c r="C131" s="2"/>
      <c r="E131" s="2"/>
      <c r="G131" s="2"/>
    </row>
    <row r="132" spans="2:7" x14ac:dyDescent="0.2">
      <c r="B132" s="2"/>
      <c r="C132" s="2"/>
      <c r="E132" s="2"/>
      <c r="G132" s="2"/>
    </row>
    <row r="133" spans="2:7" x14ac:dyDescent="0.2">
      <c r="B133" s="2"/>
      <c r="C133" s="2"/>
      <c r="E133" s="2"/>
      <c r="G133" s="2"/>
    </row>
    <row r="134" spans="2:7" x14ac:dyDescent="0.2">
      <c r="B134" s="2"/>
      <c r="C134" s="2"/>
      <c r="E134" s="2"/>
      <c r="G134" s="2"/>
    </row>
    <row r="135" spans="2:7" x14ac:dyDescent="0.2">
      <c r="B135" s="2"/>
      <c r="C135" s="2"/>
      <c r="E135" s="2"/>
      <c r="G135" s="2"/>
    </row>
    <row r="136" spans="2:7" x14ac:dyDescent="0.2">
      <c r="B136" s="2"/>
      <c r="C136" s="2"/>
      <c r="E136" s="2"/>
      <c r="G136" s="2"/>
    </row>
    <row r="137" spans="2:7" x14ac:dyDescent="0.2">
      <c r="B137" s="2"/>
      <c r="C137" s="2"/>
      <c r="E137" s="2"/>
      <c r="G137" s="2"/>
    </row>
    <row r="138" spans="2:7" x14ac:dyDescent="0.2">
      <c r="B138" s="2"/>
      <c r="C138" s="2"/>
      <c r="E138" s="2"/>
      <c r="G138" s="2"/>
    </row>
    <row r="139" spans="2:7" x14ac:dyDescent="0.2">
      <c r="B139" s="2"/>
      <c r="C139" s="2"/>
      <c r="E139" s="2"/>
      <c r="G139" s="2"/>
    </row>
    <row r="140" spans="2:7" x14ac:dyDescent="0.2">
      <c r="B140" s="2"/>
      <c r="C140" s="2"/>
      <c r="E140" s="2"/>
      <c r="G140" s="2"/>
    </row>
    <row r="141" spans="2:7" x14ac:dyDescent="0.2">
      <c r="B141" s="2"/>
      <c r="C141" s="2"/>
      <c r="E141" s="2"/>
      <c r="G141" s="2"/>
    </row>
    <row r="142" spans="2:7" x14ac:dyDescent="0.2">
      <c r="B142" s="2"/>
      <c r="C142" s="2"/>
      <c r="E142" s="2"/>
      <c r="G142" s="2"/>
    </row>
    <row r="143" spans="2:7" x14ac:dyDescent="0.2">
      <c r="B143" s="2"/>
      <c r="C143" s="2"/>
      <c r="E143" s="2"/>
      <c r="G143" s="2"/>
    </row>
    <row r="144" spans="2:7" x14ac:dyDescent="0.2">
      <c r="B144" s="2"/>
      <c r="C144" s="2"/>
      <c r="E144" s="2"/>
      <c r="G144" s="2"/>
    </row>
    <row r="145" spans="2:7" x14ac:dyDescent="0.2">
      <c r="B145" s="2"/>
      <c r="C145" s="2"/>
      <c r="E145" s="2"/>
      <c r="G145" s="2"/>
    </row>
    <row r="146" spans="2:7" x14ac:dyDescent="0.2">
      <c r="B146" s="2"/>
      <c r="C146" s="2"/>
      <c r="E146" s="2"/>
      <c r="G146" s="2"/>
    </row>
    <row r="147" spans="2:7" x14ac:dyDescent="0.2">
      <c r="B147" s="2"/>
      <c r="C147" s="2"/>
      <c r="E147" s="2"/>
      <c r="G147" s="2"/>
    </row>
    <row r="148" spans="2:7" x14ac:dyDescent="0.2">
      <c r="B148" s="2"/>
      <c r="C148" s="2"/>
      <c r="E148" s="2"/>
      <c r="G148" s="2"/>
    </row>
    <row r="149" spans="2:7" x14ac:dyDescent="0.2">
      <c r="B149" s="2"/>
      <c r="C149" s="2"/>
      <c r="E149" s="2"/>
      <c r="G149" s="2"/>
    </row>
    <row r="150" spans="2:7" x14ac:dyDescent="0.2">
      <c r="B150" s="2"/>
      <c r="C150" s="2"/>
      <c r="E150" s="2"/>
      <c r="G150" s="2"/>
    </row>
    <row r="151" spans="2:7" x14ac:dyDescent="0.2">
      <c r="B151" s="2"/>
      <c r="C151" s="2"/>
      <c r="E151" s="2"/>
      <c r="G151" s="2"/>
    </row>
    <row r="152" spans="2:7" x14ac:dyDescent="0.2">
      <c r="B152" s="2"/>
      <c r="C152" s="2"/>
      <c r="E152" s="2"/>
      <c r="G152" s="2"/>
    </row>
    <row r="153" spans="2:7" x14ac:dyDescent="0.2">
      <c r="B153" s="2"/>
      <c r="C153" s="2"/>
      <c r="E153" s="2"/>
      <c r="G153" s="2"/>
    </row>
    <row r="154" spans="2:7" x14ac:dyDescent="0.2">
      <c r="B154" s="2"/>
      <c r="C154" s="2"/>
      <c r="E154" s="2"/>
      <c r="G154" s="2"/>
    </row>
    <row r="155" spans="2:7" x14ac:dyDescent="0.2">
      <c r="B155" s="2"/>
      <c r="C155" s="2"/>
      <c r="E155" s="2"/>
      <c r="G155" s="2"/>
    </row>
    <row r="156" spans="2:7" x14ac:dyDescent="0.2">
      <c r="B156" s="2"/>
      <c r="C156" s="2"/>
      <c r="E156" s="2"/>
      <c r="G156" s="2"/>
    </row>
    <row r="157" spans="2:7" x14ac:dyDescent="0.2">
      <c r="B157" s="2"/>
      <c r="C157" s="2"/>
      <c r="E157" s="2"/>
      <c r="G157" s="2"/>
    </row>
    <row r="158" spans="2:7" x14ac:dyDescent="0.2">
      <c r="B158" s="2"/>
      <c r="C158" s="2"/>
      <c r="E158" s="2"/>
      <c r="G158" s="2"/>
    </row>
    <row r="159" spans="2:7" x14ac:dyDescent="0.2">
      <c r="B159" s="2"/>
      <c r="C159" s="2"/>
      <c r="E159" s="2"/>
      <c r="G159" s="2"/>
    </row>
    <row r="160" spans="2:7" x14ac:dyDescent="0.2">
      <c r="B160" s="2"/>
      <c r="C160" s="2"/>
      <c r="E160" s="2"/>
      <c r="G160" s="2"/>
    </row>
    <row r="161" spans="2:7" x14ac:dyDescent="0.2">
      <c r="B161" s="2"/>
      <c r="C161" s="2"/>
      <c r="E161" s="2"/>
      <c r="G161" s="2"/>
    </row>
    <row r="162" spans="2:7" x14ac:dyDescent="0.2">
      <c r="B162" s="2"/>
      <c r="C162" s="2"/>
      <c r="E162" s="2"/>
      <c r="G162" s="2"/>
    </row>
    <row r="163" spans="2:7" x14ac:dyDescent="0.2">
      <c r="B163" s="2"/>
      <c r="C163" s="2"/>
      <c r="E163" s="2"/>
      <c r="G163" s="2"/>
    </row>
    <row r="164" spans="2:7" x14ac:dyDescent="0.2">
      <c r="B164" s="2"/>
      <c r="C164" s="2"/>
      <c r="E164" s="2"/>
      <c r="G164" s="2"/>
    </row>
    <row r="165" spans="2:7" x14ac:dyDescent="0.2">
      <c r="B165" s="2"/>
      <c r="C165" s="2"/>
      <c r="E165" s="2"/>
      <c r="G165" s="2"/>
    </row>
    <row r="166" spans="2:7" x14ac:dyDescent="0.2">
      <c r="B166" s="2"/>
      <c r="C166" s="2"/>
      <c r="E166" s="2"/>
      <c r="G166" s="2"/>
    </row>
    <row r="167" spans="2:7" x14ac:dyDescent="0.2">
      <c r="B167" s="2"/>
      <c r="C167" s="2"/>
      <c r="E167" s="2"/>
      <c r="G167" s="2"/>
    </row>
    <row r="168" spans="2:7" x14ac:dyDescent="0.2">
      <c r="B168" s="2"/>
      <c r="C168" s="2"/>
      <c r="E168" s="2"/>
      <c r="G168" s="2"/>
    </row>
    <row r="169" spans="2:7" x14ac:dyDescent="0.2">
      <c r="B169" s="2"/>
      <c r="C169" s="2"/>
      <c r="E169" s="2"/>
      <c r="G169" s="2"/>
    </row>
    <row r="170" spans="2:7" x14ac:dyDescent="0.2">
      <c r="B170" s="2"/>
      <c r="C170" s="2"/>
      <c r="E170" s="2"/>
      <c r="G170" s="2"/>
    </row>
    <row r="171" spans="2:7" x14ac:dyDescent="0.2">
      <c r="B171" s="2"/>
      <c r="C171" s="2"/>
      <c r="E171" s="2"/>
      <c r="G171" s="2"/>
    </row>
    <row r="172" spans="2:7" x14ac:dyDescent="0.2">
      <c r="B172" s="2"/>
      <c r="C172" s="2"/>
      <c r="E172" s="2"/>
      <c r="G172" s="2"/>
    </row>
    <row r="173" spans="2:7" x14ac:dyDescent="0.2">
      <c r="B173" s="2"/>
      <c r="C173" s="2"/>
      <c r="E173" s="2"/>
      <c r="G173" s="2"/>
    </row>
    <row r="174" spans="2:7" x14ac:dyDescent="0.2">
      <c r="B174" s="2"/>
      <c r="C174" s="2"/>
      <c r="E174" s="2"/>
      <c r="G174" s="2"/>
    </row>
    <row r="175" spans="2:7" x14ac:dyDescent="0.2">
      <c r="B175" s="2"/>
      <c r="C175" s="2"/>
      <c r="E175" s="2"/>
      <c r="G175" s="2"/>
    </row>
    <row r="176" spans="2:7" x14ac:dyDescent="0.2">
      <c r="B176" s="2"/>
      <c r="C176" s="2"/>
      <c r="E176" s="2"/>
      <c r="G176" s="2"/>
    </row>
    <row r="177" spans="2:7" x14ac:dyDescent="0.2">
      <c r="B177" s="2"/>
      <c r="C177" s="2"/>
      <c r="E177" s="2"/>
      <c r="G177" s="2"/>
    </row>
    <row r="178" spans="2:7" x14ac:dyDescent="0.2">
      <c r="B178" s="2"/>
      <c r="C178" s="2"/>
      <c r="E178" s="2"/>
      <c r="G178" s="2"/>
    </row>
    <row r="179" spans="2:7" x14ac:dyDescent="0.2">
      <c r="B179" s="2"/>
      <c r="C179" s="2"/>
      <c r="E179" s="2"/>
      <c r="G179" s="2"/>
    </row>
    <row r="180" spans="2:7" x14ac:dyDescent="0.2">
      <c r="B180" s="2"/>
      <c r="C180" s="2"/>
      <c r="E180" s="2"/>
      <c r="G180" s="2"/>
    </row>
    <row r="181" spans="2:7" x14ac:dyDescent="0.2">
      <c r="B181" s="2"/>
      <c r="C181" s="2"/>
      <c r="E181" s="2"/>
      <c r="G181" s="2"/>
    </row>
    <row r="182" spans="2:7" x14ac:dyDescent="0.2">
      <c r="B182" s="2"/>
      <c r="C182" s="2"/>
      <c r="E182" s="2"/>
      <c r="G182" s="2"/>
    </row>
    <row r="183" spans="2:7" x14ac:dyDescent="0.2">
      <c r="B183" s="2"/>
      <c r="C183" s="2"/>
      <c r="E183" s="2"/>
      <c r="G183" s="2"/>
    </row>
    <row r="184" spans="2:7" x14ac:dyDescent="0.2">
      <c r="B184" s="2"/>
      <c r="C184" s="2"/>
      <c r="E184" s="2"/>
      <c r="G184" s="2"/>
    </row>
    <row r="185" spans="2:7" x14ac:dyDescent="0.2">
      <c r="B185" s="2"/>
      <c r="C185" s="2"/>
      <c r="E185" s="2"/>
      <c r="G185" s="2"/>
    </row>
    <row r="186" spans="2:7" x14ac:dyDescent="0.2">
      <c r="B186" s="2"/>
      <c r="C186" s="2"/>
      <c r="E186" s="2"/>
      <c r="G186" s="2"/>
    </row>
    <row r="187" spans="2:7" x14ac:dyDescent="0.2">
      <c r="B187" s="2"/>
      <c r="C187" s="2"/>
      <c r="E187" s="2"/>
      <c r="G187" s="2"/>
    </row>
    <row r="188" spans="2:7" x14ac:dyDescent="0.2">
      <c r="B188" s="2"/>
      <c r="C188" s="2"/>
      <c r="E188" s="2"/>
      <c r="G188" s="2"/>
    </row>
    <row r="189" spans="2:7" x14ac:dyDescent="0.2">
      <c r="B189" s="2"/>
      <c r="C189" s="2"/>
      <c r="E189" s="2"/>
      <c r="G189" s="2"/>
    </row>
    <row r="190" spans="2:7" x14ac:dyDescent="0.2">
      <c r="B190" s="2"/>
      <c r="C190" s="2"/>
      <c r="E190" s="2"/>
      <c r="G190" s="2"/>
    </row>
    <row r="191" spans="2:7" x14ac:dyDescent="0.2">
      <c r="B191" s="2"/>
      <c r="C191" s="2"/>
      <c r="E191" s="2"/>
      <c r="G191" s="2"/>
    </row>
    <row r="192" spans="2:7" x14ac:dyDescent="0.2">
      <c r="B192" s="2"/>
      <c r="C192" s="2"/>
      <c r="E192" s="2"/>
      <c r="G192" s="2"/>
    </row>
    <row r="193" spans="2:7" x14ac:dyDescent="0.2">
      <c r="B193" s="2"/>
      <c r="C193" s="2"/>
      <c r="E193" s="2"/>
      <c r="G193" s="2"/>
    </row>
    <row r="194" spans="2:7" x14ac:dyDescent="0.2">
      <c r="B194" s="2"/>
      <c r="C194" s="2"/>
      <c r="E194" s="2"/>
      <c r="G194" s="2"/>
    </row>
    <row r="195" spans="2:7" x14ac:dyDescent="0.2">
      <c r="B195" s="2"/>
      <c r="C195" s="2"/>
      <c r="E195" s="2"/>
      <c r="G195" s="2"/>
    </row>
    <row r="196" spans="2:7" x14ac:dyDescent="0.2">
      <c r="B196" s="2"/>
      <c r="C196" s="2"/>
      <c r="E196" s="2"/>
      <c r="G196" s="2"/>
    </row>
    <row r="197" spans="2:7" x14ac:dyDescent="0.2">
      <c r="B197" s="2"/>
      <c r="C197" s="2"/>
      <c r="E197" s="2"/>
      <c r="G197" s="2"/>
    </row>
    <row r="198" spans="2:7" x14ac:dyDescent="0.2">
      <c r="B198" s="2"/>
      <c r="C198" s="2"/>
      <c r="E198" s="2"/>
      <c r="G198" s="2"/>
    </row>
    <row r="199" spans="2:7" x14ac:dyDescent="0.2">
      <c r="B199" s="2"/>
      <c r="C199" s="2"/>
      <c r="E199" s="2"/>
      <c r="G199" s="2"/>
    </row>
    <row r="200" spans="2:7" x14ac:dyDescent="0.2">
      <c r="B200" s="2"/>
      <c r="C200" s="2"/>
      <c r="E200" s="2"/>
      <c r="G200" s="2"/>
    </row>
    <row r="201" spans="2:7" x14ac:dyDescent="0.2">
      <c r="B201" s="2"/>
      <c r="C201" s="2"/>
      <c r="E201" s="2"/>
      <c r="G201" s="2"/>
    </row>
    <row r="202" spans="2:7" x14ac:dyDescent="0.2">
      <c r="B202" s="2"/>
      <c r="C202" s="2"/>
      <c r="E202" s="2"/>
      <c r="G202" s="2"/>
    </row>
    <row r="203" spans="2:7" x14ac:dyDescent="0.2">
      <c r="B203" s="2"/>
      <c r="C203" s="2"/>
      <c r="E203" s="2"/>
      <c r="G203" s="2"/>
    </row>
    <row r="204" spans="2:7" x14ac:dyDescent="0.2">
      <c r="B204" s="2"/>
      <c r="C204" s="2"/>
      <c r="E204" s="2"/>
      <c r="G204" s="2"/>
    </row>
    <row r="205" spans="2:7" x14ac:dyDescent="0.2">
      <c r="B205" s="2"/>
      <c r="C205" s="2"/>
      <c r="E205" s="2"/>
      <c r="G205" s="2"/>
    </row>
    <row r="206" spans="2:7" x14ac:dyDescent="0.2">
      <c r="B206" s="2"/>
      <c r="C206" s="2"/>
      <c r="E206" s="2"/>
      <c r="G206" s="2"/>
    </row>
    <row r="207" spans="2:7" x14ac:dyDescent="0.2">
      <c r="B207" s="2"/>
      <c r="C207" s="2"/>
      <c r="E207" s="2"/>
      <c r="G207" s="2"/>
    </row>
    <row r="208" spans="2:7" x14ac:dyDescent="0.2">
      <c r="B208" s="2"/>
      <c r="C208" s="2"/>
      <c r="E208" s="2"/>
      <c r="G208" s="2"/>
    </row>
    <row r="209" spans="2:7" x14ac:dyDescent="0.2">
      <c r="B209" s="2"/>
      <c r="C209" s="2"/>
      <c r="E209" s="2"/>
      <c r="G209" s="2"/>
    </row>
    <row r="210" spans="2:7" x14ac:dyDescent="0.2">
      <c r="B210" s="2"/>
      <c r="C210" s="2"/>
      <c r="E210" s="2"/>
      <c r="G210" s="2"/>
    </row>
    <row r="211" spans="2:7" x14ac:dyDescent="0.2">
      <c r="B211" s="2"/>
      <c r="C211" s="2"/>
      <c r="E211" s="2"/>
      <c r="G211" s="2"/>
    </row>
    <row r="212" spans="2:7" x14ac:dyDescent="0.2">
      <c r="B212" s="2"/>
      <c r="C212" s="2"/>
      <c r="E212" s="2"/>
      <c r="G212" s="2"/>
    </row>
    <row r="213" spans="2:7" x14ac:dyDescent="0.2">
      <c r="B213" s="2"/>
      <c r="C213" s="2"/>
      <c r="E213" s="2"/>
      <c r="G213" s="2"/>
    </row>
    <row r="214" spans="2:7" x14ac:dyDescent="0.2">
      <c r="B214" s="2"/>
      <c r="C214" s="2"/>
      <c r="E214" s="2"/>
      <c r="G214" s="2"/>
    </row>
    <row r="215" spans="2:7" x14ac:dyDescent="0.2">
      <c r="B215" s="2"/>
      <c r="C215" s="2"/>
      <c r="E215" s="2"/>
      <c r="G215" s="2"/>
    </row>
    <row r="216" spans="2:7" x14ac:dyDescent="0.2">
      <c r="B216" s="2"/>
      <c r="C216" s="2"/>
      <c r="E216" s="2"/>
      <c r="G216" s="2"/>
    </row>
    <row r="217" spans="2:7" x14ac:dyDescent="0.2">
      <c r="B217" s="2"/>
      <c r="C217" s="2"/>
      <c r="E217" s="2"/>
      <c r="G217" s="2"/>
    </row>
    <row r="218" spans="2:7" x14ac:dyDescent="0.2">
      <c r="B218" s="2"/>
      <c r="C218" s="2"/>
      <c r="E218" s="2"/>
      <c r="G218" s="2"/>
    </row>
    <row r="219" spans="2:7" x14ac:dyDescent="0.2">
      <c r="B219" s="2"/>
      <c r="C219" s="2"/>
      <c r="E219" s="2"/>
      <c r="G219" s="2"/>
    </row>
    <row r="220" spans="2:7" x14ac:dyDescent="0.2">
      <c r="B220" s="2"/>
      <c r="C220" s="2"/>
      <c r="E220" s="2"/>
      <c r="G220" s="2"/>
    </row>
    <row r="221" spans="2:7" x14ac:dyDescent="0.2">
      <c r="B221" s="2"/>
      <c r="C221" s="2"/>
      <c r="E221" s="2"/>
      <c r="G221" s="2"/>
    </row>
    <row r="222" spans="2:7" x14ac:dyDescent="0.2">
      <c r="B222" s="2"/>
      <c r="C222" s="2"/>
      <c r="E222" s="2"/>
      <c r="G222" s="2"/>
    </row>
    <row r="223" spans="2:7" x14ac:dyDescent="0.2">
      <c r="B223" s="2"/>
      <c r="C223" s="2"/>
      <c r="E223" s="2"/>
      <c r="G223" s="2"/>
    </row>
    <row r="224" spans="2:7" x14ac:dyDescent="0.2">
      <c r="B224" s="2"/>
      <c r="C224" s="2"/>
      <c r="E224" s="2"/>
      <c r="G224" s="2"/>
    </row>
    <row r="225" spans="2:7" x14ac:dyDescent="0.2">
      <c r="B225" s="2"/>
      <c r="C225" s="2"/>
      <c r="E225" s="2"/>
      <c r="G225" s="2"/>
    </row>
    <row r="226" spans="2:7" x14ac:dyDescent="0.2">
      <c r="B226" s="2"/>
      <c r="C226" s="2"/>
      <c r="E226" s="2"/>
      <c r="G226" s="2"/>
    </row>
    <row r="227" spans="2:7" x14ac:dyDescent="0.2">
      <c r="B227" s="2"/>
      <c r="C227" s="2"/>
      <c r="E227" s="2"/>
      <c r="G227" s="2"/>
    </row>
    <row r="228" spans="2:7" x14ac:dyDescent="0.2">
      <c r="B228" s="2"/>
      <c r="C228" s="2"/>
      <c r="E228" s="2"/>
      <c r="G228" s="2"/>
    </row>
    <row r="229" spans="2:7" x14ac:dyDescent="0.2">
      <c r="B229" s="2"/>
      <c r="C229" s="2"/>
      <c r="E229" s="2"/>
      <c r="G229" s="2"/>
    </row>
    <row r="230" spans="2:7" x14ac:dyDescent="0.2">
      <c r="B230" s="2"/>
      <c r="C230" s="2"/>
      <c r="E230" s="2"/>
      <c r="G230" s="2"/>
    </row>
    <row r="231" spans="2:7" x14ac:dyDescent="0.2">
      <c r="B231" s="2"/>
      <c r="C231" s="2"/>
      <c r="E231" s="2"/>
      <c r="G231" s="2"/>
    </row>
    <row r="232" spans="2:7" x14ac:dyDescent="0.2">
      <c r="B232" s="2"/>
      <c r="C232" s="2"/>
      <c r="E232" s="2"/>
      <c r="G232" s="2"/>
    </row>
    <row r="233" spans="2:7" x14ac:dyDescent="0.2">
      <c r="B233" s="2"/>
      <c r="C233" s="2"/>
      <c r="E233" s="2"/>
      <c r="G233" s="2"/>
    </row>
    <row r="234" spans="2:7" x14ac:dyDescent="0.2">
      <c r="B234" s="2"/>
      <c r="C234" s="2"/>
      <c r="E234" s="2"/>
      <c r="G234" s="2"/>
    </row>
    <row r="235" spans="2:7" x14ac:dyDescent="0.2">
      <c r="B235" s="2"/>
      <c r="C235" s="2"/>
      <c r="E235" s="2"/>
      <c r="G235" s="2"/>
    </row>
    <row r="236" spans="2:7" x14ac:dyDescent="0.2">
      <c r="B236" s="2"/>
      <c r="C236" s="2"/>
      <c r="E236" s="2"/>
      <c r="G236" s="2"/>
    </row>
    <row r="237" spans="2:7" x14ac:dyDescent="0.2">
      <c r="B237" s="2"/>
      <c r="C237" s="2"/>
      <c r="E237" s="2"/>
      <c r="G237" s="2"/>
    </row>
    <row r="238" spans="2:7" x14ac:dyDescent="0.2">
      <c r="B238" s="2"/>
      <c r="C238" s="2"/>
      <c r="E238" s="2"/>
      <c r="G238" s="2"/>
    </row>
    <row r="239" spans="2:7" x14ac:dyDescent="0.2">
      <c r="B239" s="2"/>
      <c r="C239" s="2"/>
      <c r="E239" s="2"/>
      <c r="G239" s="2"/>
    </row>
    <row r="240" spans="2:7" x14ac:dyDescent="0.2">
      <c r="B240" s="2"/>
      <c r="C240" s="2"/>
      <c r="E240" s="2"/>
      <c r="G240" s="2"/>
    </row>
    <row r="241" spans="2:7" x14ac:dyDescent="0.2">
      <c r="B241" s="2"/>
      <c r="C241" s="2"/>
      <c r="E241" s="2"/>
      <c r="G241" s="2"/>
    </row>
    <row r="242" spans="2:7" x14ac:dyDescent="0.2">
      <c r="B242" s="2"/>
      <c r="C242" s="2"/>
      <c r="E242" s="2"/>
      <c r="G242" s="2"/>
    </row>
    <row r="243" spans="2:7" x14ac:dyDescent="0.2">
      <c r="B243" s="2"/>
      <c r="C243" s="2"/>
      <c r="E243" s="2"/>
      <c r="G243" s="2"/>
    </row>
    <row r="244" spans="2:7" x14ac:dyDescent="0.2">
      <c r="B244" s="2"/>
      <c r="C244" s="2"/>
      <c r="E244" s="2"/>
      <c r="G244" s="2"/>
    </row>
    <row r="245" spans="2:7" x14ac:dyDescent="0.2">
      <c r="B245" s="2"/>
      <c r="C245" s="2"/>
      <c r="E245" s="2"/>
      <c r="G245" s="2"/>
    </row>
    <row r="246" spans="2:7" x14ac:dyDescent="0.2">
      <c r="B246" s="2"/>
      <c r="C246" s="2"/>
      <c r="E246" s="2"/>
      <c r="G246" s="2"/>
    </row>
    <row r="247" spans="2:7" x14ac:dyDescent="0.2">
      <c r="B247" s="2"/>
      <c r="C247" s="2"/>
      <c r="E247" s="2"/>
      <c r="G247" s="2"/>
    </row>
    <row r="248" spans="2:7" x14ac:dyDescent="0.2">
      <c r="B248" s="2"/>
      <c r="C248" s="2"/>
      <c r="E248" s="2"/>
      <c r="G248" s="2"/>
    </row>
    <row r="249" spans="2:7" x14ac:dyDescent="0.2">
      <c r="B249" s="2"/>
      <c r="C249" s="2"/>
      <c r="E249" s="2"/>
      <c r="G249" s="2"/>
    </row>
    <row r="250" spans="2:7" x14ac:dyDescent="0.2">
      <c r="B250" s="2"/>
      <c r="C250" s="2"/>
      <c r="E250" s="2"/>
      <c r="G250" s="2"/>
    </row>
    <row r="251" spans="2:7" x14ac:dyDescent="0.2">
      <c r="B251" s="2"/>
      <c r="C251" s="2"/>
      <c r="E251" s="2"/>
      <c r="G251" s="2"/>
    </row>
    <row r="252" spans="2:7" x14ac:dyDescent="0.2">
      <c r="B252" s="2"/>
      <c r="C252" s="2"/>
      <c r="E252" s="2"/>
      <c r="G252" s="2"/>
    </row>
    <row r="253" spans="2:7" x14ac:dyDescent="0.2">
      <c r="B253" s="2"/>
      <c r="C253" s="2"/>
      <c r="E253" s="2"/>
      <c r="G253" s="2"/>
    </row>
    <row r="254" spans="2:7" x14ac:dyDescent="0.2">
      <c r="B254" s="2"/>
      <c r="C254" s="2"/>
      <c r="E254" s="2"/>
      <c r="G254" s="2"/>
    </row>
    <row r="255" spans="2:7" x14ac:dyDescent="0.2">
      <c r="B255" s="2"/>
      <c r="C255" s="2"/>
      <c r="E255" s="2"/>
      <c r="G255" s="2"/>
    </row>
    <row r="256" spans="2:7" x14ac:dyDescent="0.2">
      <c r="B256" s="2"/>
      <c r="C256" s="2"/>
      <c r="E256" s="2"/>
      <c r="G256" s="2"/>
    </row>
    <row r="257" spans="2:7" x14ac:dyDescent="0.2">
      <c r="B257" s="2"/>
      <c r="C257" s="2"/>
      <c r="E257" s="2"/>
      <c r="G257" s="2"/>
    </row>
    <row r="258" spans="2:7" x14ac:dyDescent="0.2">
      <c r="B258" s="2"/>
      <c r="C258" s="2"/>
      <c r="E258" s="2"/>
      <c r="G258" s="2"/>
    </row>
    <row r="259" spans="2:7" x14ac:dyDescent="0.2">
      <c r="B259" s="2"/>
      <c r="C259" s="2"/>
      <c r="E259" s="2"/>
      <c r="G259" s="2"/>
    </row>
    <row r="260" spans="2:7" x14ac:dyDescent="0.2">
      <c r="B260" s="2"/>
      <c r="C260" s="2"/>
      <c r="E260" s="2"/>
      <c r="G260" s="2"/>
    </row>
    <row r="261" spans="2:7" x14ac:dyDescent="0.2">
      <c r="B261" s="2"/>
      <c r="C261" s="2"/>
      <c r="E261" s="2"/>
      <c r="G261" s="2"/>
    </row>
    <row r="262" spans="2:7" x14ac:dyDescent="0.2">
      <c r="B262" s="2"/>
      <c r="C262" s="2"/>
      <c r="E262" s="2"/>
      <c r="G262" s="2"/>
    </row>
    <row r="263" spans="2:7" x14ac:dyDescent="0.2">
      <c r="B263" s="2"/>
      <c r="C263" s="2"/>
      <c r="E263" s="2"/>
      <c r="G263" s="2"/>
    </row>
    <row r="264" spans="2:7" x14ac:dyDescent="0.2">
      <c r="B264" s="2"/>
      <c r="C264" s="2"/>
      <c r="E264" s="2"/>
      <c r="G264" s="2"/>
    </row>
    <row r="265" spans="2:7" x14ac:dyDescent="0.2">
      <c r="B265" s="2"/>
      <c r="C265" s="2"/>
      <c r="E265" s="2"/>
      <c r="G265" s="2"/>
    </row>
    <row r="266" spans="2:7" x14ac:dyDescent="0.2">
      <c r="B266" s="2"/>
      <c r="C266" s="2"/>
      <c r="E266" s="2"/>
      <c r="G266" s="2"/>
    </row>
    <row r="267" spans="2:7" x14ac:dyDescent="0.2">
      <c r="B267" s="2"/>
      <c r="C267" s="2"/>
      <c r="E267" s="2"/>
      <c r="G267" s="2"/>
    </row>
    <row r="268" spans="2:7" x14ac:dyDescent="0.2">
      <c r="B268" s="2"/>
      <c r="C268" s="2"/>
      <c r="E268" s="2"/>
      <c r="G268" s="2"/>
    </row>
    <row r="269" spans="2:7" x14ac:dyDescent="0.2">
      <c r="B269" s="2"/>
      <c r="C269" s="2"/>
      <c r="E269" s="2"/>
      <c r="G269" s="2"/>
    </row>
    <row r="270" spans="2:7" x14ac:dyDescent="0.2">
      <c r="B270" s="2"/>
      <c r="C270" s="2"/>
      <c r="E270" s="2"/>
      <c r="G270" s="2"/>
    </row>
    <row r="271" spans="2:7" x14ac:dyDescent="0.2">
      <c r="B271" s="2"/>
      <c r="C271" s="2"/>
      <c r="E271" s="2"/>
      <c r="G271" s="2"/>
    </row>
    <row r="272" spans="2:7" x14ac:dyDescent="0.2">
      <c r="B272" s="2"/>
      <c r="C272" s="2"/>
      <c r="E272" s="2"/>
      <c r="G272" s="2"/>
    </row>
    <row r="273" spans="2:7" x14ac:dyDescent="0.2">
      <c r="B273" s="2"/>
      <c r="C273" s="2"/>
      <c r="E273" s="2"/>
      <c r="G273" s="2"/>
    </row>
    <row r="274" spans="2:7" x14ac:dyDescent="0.2">
      <c r="B274" s="2"/>
      <c r="C274" s="2"/>
      <c r="E274" s="2"/>
      <c r="G274" s="2"/>
    </row>
    <row r="275" spans="2:7" x14ac:dyDescent="0.2">
      <c r="B275" s="2"/>
      <c r="C275" s="2"/>
      <c r="E275" s="2"/>
      <c r="G275" s="2"/>
    </row>
    <row r="276" spans="2:7" x14ac:dyDescent="0.2">
      <c r="B276" s="2"/>
      <c r="C276" s="2"/>
      <c r="E276" s="2"/>
      <c r="G276" s="2"/>
    </row>
    <row r="277" spans="2:7" x14ac:dyDescent="0.2">
      <c r="B277" s="2"/>
      <c r="C277" s="2"/>
      <c r="E277" s="2"/>
      <c r="G277" s="2"/>
    </row>
    <row r="278" spans="2:7" x14ac:dyDescent="0.2">
      <c r="B278" s="2"/>
      <c r="C278" s="2"/>
      <c r="E278" s="2"/>
      <c r="G278" s="2"/>
    </row>
    <row r="279" spans="2:7" x14ac:dyDescent="0.2">
      <c r="B279" s="2"/>
      <c r="C279" s="2"/>
      <c r="E279" s="2"/>
      <c r="G279" s="2"/>
    </row>
    <row r="280" spans="2:7" x14ac:dyDescent="0.2">
      <c r="B280" s="2"/>
      <c r="C280" s="2"/>
      <c r="E280" s="2"/>
      <c r="G280" s="2"/>
    </row>
    <row r="281" spans="2:7" x14ac:dyDescent="0.2">
      <c r="B281" s="2"/>
      <c r="C281" s="2"/>
      <c r="E281" s="2"/>
      <c r="G281" s="2"/>
    </row>
    <row r="282" spans="2:7" x14ac:dyDescent="0.2">
      <c r="B282" s="2"/>
      <c r="C282" s="2"/>
      <c r="E282" s="2"/>
      <c r="G282" s="2"/>
    </row>
    <row r="283" spans="2:7" x14ac:dyDescent="0.2">
      <c r="B283" s="2"/>
      <c r="C283" s="2"/>
      <c r="E283" s="2"/>
      <c r="G283" s="2"/>
    </row>
    <row r="284" spans="2:7" x14ac:dyDescent="0.2">
      <c r="B284" s="2"/>
      <c r="C284" s="2"/>
      <c r="E284" s="2"/>
      <c r="G284" s="2"/>
    </row>
    <row r="285" spans="2:7" x14ac:dyDescent="0.2">
      <c r="B285" s="2"/>
      <c r="C285" s="2"/>
      <c r="E285" s="2"/>
      <c r="G285" s="2"/>
    </row>
    <row r="286" spans="2:7" x14ac:dyDescent="0.2">
      <c r="B286" s="2"/>
      <c r="C286" s="2"/>
      <c r="E286" s="2"/>
      <c r="G286" s="2"/>
    </row>
    <row r="287" spans="2:7" x14ac:dyDescent="0.2">
      <c r="B287" s="2"/>
      <c r="C287" s="2"/>
      <c r="E287" s="2"/>
      <c r="G287" s="2"/>
    </row>
    <row r="288" spans="2:7" x14ac:dyDescent="0.2">
      <c r="B288" s="2"/>
      <c r="C288" s="2"/>
      <c r="E288" s="2"/>
      <c r="G288" s="2"/>
    </row>
    <row r="289" spans="2:7" x14ac:dyDescent="0.2">
      <c r="B289" s="2"/>
      <c r="C289" s="2"/>
      <c r="E289" s="2"/>
      <c r="G289" s="2"/>
    </row>
    <row r="290" spans="2:7" x14ac:dyDescent="0.2">
      <c r="B290" s="2"/>
      <c r="C290" s="2"/>
      <c r="E290" s="2"/>
      <c r="G290" s="2"/>
    </row>
    <row r="291" spans="2:7" x14ac:dyDescent="0.2">
      <c r="B291" s="2"/>
      <c r="C291" s="2"/>
      <c r="E291" s="2"/>
      <c r="G291" s="2"/>
    </row>
    <row r="292" spans="2:7" x14ac:dyDescent="0.2">
      <c r="B292" s="2"/>
      <c r="C292" s="2"/>
      <c r="E292" s="2"/>
      <c r="G292" s="2"/>
    </row>
    <row r="293" spans="2:7" x14ac:dyDescent="0.2">
      <c r="B293" s="2"/>
      <c r="C293" s="2"/>
      <c r="E293" s="2"/>
      <c r="G293" s="2"/>
    </row>
    <row r="294" spans="2:7" x14ac:dyDescent="0.2">
      <c r="B294" s="2"/>
      <c r="C294" s="2"/>
      <c r="E294" s="2"/>
      <c r="G294" s="2"/>
    </row>
    <row r="295" spans="2:7" x14ac:dyDescent="0.2">
      <c r="B295" s="2"/>
      <c r="C295" s="2"/>
      <c r="E295" s="2"/>
      <c r="G295" s="2"/>
    </row>
    <row r="296" spans="2:7" x14ac:dyDescent="0.2">
      <c r="B296" s="2"/>
      <c r="C296" s="2"/>
      <c r="E296" s="2"/>
      <c r="G296" s="2"/>
    </row>
    <row r="297" spans="2:7" x14ac:dyDescent="0.2">
      <c r="B297" s="2"/>
      <c r="C297" s="2"/>
      <c r="E297" s="2"/>
      <c r="G297" s="2"/>
    </row>
    <row r="298" spans="2:7" x14ac:dyDescent="0.2">
      <c r="B298" s="2"/>
      <c r="C298" s="2"/>
      <c r="E298" s="2"/>
      <c r="G298" s="2"/>
    </row>
    <row r="299" spans="2:7" x14ac:dyDescent="0.2">
      <c r="B299" s="2"/>
      <c r="C299" s="2"/>
      <c r="E299" s="2"/>
      <c r="G299" s="2"/>
    </row>
    <row r="300" spans="2:7" x14ac:dyDescent="0.2">
      <c r="B300" s="2"/>
      <c r="C300" s="2"/>
      <c r="E300" s="2"/>
      <c r="G300" s="2"/>
    </row>
    <row r="301" spans="2:7" x14ac:dyDescent="0.2">
      <c r="B301" s="2"/>
      <c r="C301" s="2"/>
      <c r="E301" s="2"/>
      <c r="G301" s="2"/>
    </row>
    <row r="302" spans="2:7" x14ac:dyDescent="0.2">
      <c r="B302" s="2"/>
      <c r="C302" s="2"/>
      <c r="E302" s="2"/>
      <c r="G302" s="2"/>
    </row>
    <row r="303" spans="2:7" x14ac:dyDescent="0.2">
      <c r="B303" s="2"/>
      <c r="C303" s="2"/>
      <c r="E303" s="2"/>
      <c r="G303" s="2"/>
    </row>
    <row r="304" spans="2:7" x14ac:dyDescent="0.2">
      <c r="B304" s="2"/>
      <c r="C304" s="2"/>
      <c r="E304" s="2"/>
      <c r="G304" s="2"/>
    </row>
    <row r="305" spans="2:7" x14ac:dyDescent="0.2">
      <c r="B305" s="2"/>
      <c r="C305" s="2"/>
      <c r="E305" s="2"/>
      <c r="G305" s="2"/>
    </row>
    <row r="306" spans="2:7" x14ac:dyDescent="0.2">
      <c r="B306" s="2"/>
      <c r="C306" s="2"/>
      <c r="E306" s="2"/>
      <c r="G306" s="2"/>
    </row>
    <row r="307" spans="2:7" x14ac:dyDescent="0.2">
      <c r="B307" s="2"/>
      <c r="C307" s="2"/>
      <c r="E307" s="2"/>
      <c r="G307" s="2"/>
    </row>
    <row r="308" spans="2:7" x14ac:dyDescent="0.2">
      <c r="B308" s="2"/>
      <c r="C308" s="2"/>
      <c r="E308" s="2"/>
      <c r="G308" s="2"/>
    </row>
    <row r="309" spans="2:7" x14ac:dyDescent="0.2">
      <c r="B309" s="2"/>
      <c r="C309" s="2"/>
      <c r="E309" s="2"/>
      <c r="G309" s="2"/>
    </row>
    <row r="310" spans="2:7" x14ac:dyDescent="0.2">
      <c r="B310" s="2"/>
      <c r="C310" s="2"/>
      <c r="E310" s="2"/>
      <c r="G310" s="2"/>
    </row>
    <row r="311" spans="2:7" x14ac:dyDescent="0.2">
      <c r="B311" s="2"/>
      <c r="C311" s="2"/>
      <c r="E311" s="2"/>
      <c r="G311" s="2"/>
    </row>
    <row r="312" spans="2:7" x14ac:dyDescent="0.2">
      <c r="B312" s="2"/>
      <c r="C312" s="2"/>
      <c r="E312" s="2"/>
      <c r="G312" s="2"/>
    </row>
    <row r="313" spans="2:7" x14ac:dyDescent="0.2">
      <c r="B313" s="2"/>
      <c r="C313" s="2"/>
      <c r="E313" s="2"/>
      <c r="G313" s="2"/>
    </row>
    <row r="314" spans="2:7" x14ac:dyDescent="0.2">
      <c r="B314" s="2"/>
      <c r="C314" s="2"/>
      <c r="E314" s="2"/>
      <c r="G314" s="2"/>
    </row>
    <row r="315" spans="2:7" x14ac:dyDescent="0.2">
      <c r="B315" s="2"/>
      <c r="C315" s="2"/>
      <c r="E315" s="2"/>
      <c r="G315" s="2"/>
    </row>
    <row r="316" spans="2:7" x14ac:dyDescent="0.2">
      <c r="B316" s="2"/>
      <c r="C316" s="2"/>
      <c r="E316" s="2"/>
      <c r="G316" s="2"/>
    </row>
    <row r="317" spans="2:7" x14ac:dyDescent="0.2">
      <c r="B317" s="2"/>
      <c r="C317" s="2"/>
      <c r="E317" s="2"/>
      <c r="G317" s="2"/>
    </row>
    <row r="318" spans="2:7" x14ac:dyDescent="0.2">
      <c r="B318" s="2"/>
      <c r="C318" s="2"/>
      <c r="E318" s="2"/>
      <c r="G318" s="2"/>
    </row>
    <row r="319" spans="2:7" x14ac:dyDescent="0.2">
      <c r="B319" s="2"/>
      <c r="C319" s="2"/>
      <c r="E319" s="2"/>
      <c r="G319" s="2"/>
    </row>
    <row r="320" spans="2:7" x14ac:dyDescent="0.2">
      <c r="B320" s="2"/>
      <c r="C320" s="2"/>
      <c r="E320" s="2"/>
      <c r="G320" s="2"/>
    </row>
    <row r="321" spans="2:7" x14ac:dyDescent="0.2">
      <c r="B321" s="2"/>
      <c r="C321" s="2"/>
      <c r="E321" s="2"/>
      <c r="G321" s="2"/>
    </row>
    <row r="322" spans="2:7" x14ac:dyDescent="0.2">
      <c r="B322" s="2"/>
      <c r="C322" s="2"/>
      <c r="E322" s="2"/>
      <c r="G322" s="2"/>
    </row>
    <row r="323" spans="2:7" x14ac:dyDescent="0.2">
      <c r="B323" s="2"/>
      <c r="C323" s="2"/>
      <c r="E323" s="2"/>
      <c r="G323" s="2"/>
    </row>
    <row r="324" spans="2:7" x14ac:dyDescent="0.2">
      <c r="B324" s="2"/>
      <c r="C324" s="2"/>
      <c r="E324" s="2"/>
      <c r="G324" s="2"/>
    </row>
    <row r="325" spans="2:7" x14ac:dyDescent="0.2">
      <c r="B325" s="2"/>
      <c r="C325" s="2"/>
      <c r="E325" s="2"/>
      <c r="G325" s="2"/>
    </row>
    <row r="326" spans="2:7" x14ac:dyDescent="0.2">
      <c r="B326" s="2"/>
      <c r="C326" s="2"/>
      <c r="E326" s="2"/>
      <c r="G326" s="2"/>
    </row>
    <row r="327" spans="2:7" x14ac:dyDescent="0.2">
      <c r="B327" s="2"/>
      <c r="C327" s="2"/>
      <c r="E327" s="2"/>
      <c r="G327" s="2"/>
    </row>
    <row r="328" spans="2:7" x14ac:dyDescent="0.2">
      <c r="B328" s="2"/>
      <c r="C328" s="2"/>
      <c r="E328" s="2"/>
      <c r="G328" s="2"/>
    </row>
    <row r="329" spans="2:7" x14ac:dyDescent="0.2">
      <c r="B329" s="2"/>
      <c r="C329" s="2"/>
      <c r="E329" s="2"/>
      <c r="G329" s="2"/>
    </row>
    <row r="330" spans="2:7" x14ac:dyDescent="0.2">
      <c r="B330" s="2"/>
      <c r="C330" s="2"/>
      <c r="E330" s="2"/>
      <c r="G330" s="2"/>
    </row>
    <row r="331" spans="2:7" x14ac:dyDescent="0.2">
      <c r="B331" s="2"/>
      <c r="C331" s="2"/>
      <c r="E331" s="2"/>
      <c r="G331" s="2"/>
    </row>
    <row r="332" spans="2:7" x14ac:dyDescent="0.2">
      <c r="B332" s="2"/>
      <c r="C332" s="2"/>
      <c r="E332" s="2"/>
      <c r="G332" s="2"/>
    </row>
    <row r="333" spans="2:7" x14ac:dyDescent="0.2">
      <c r="B333" s="2"/>
      <c r="C333" s="2"/>
      <c r="E333" s="2"/>
      <c r="G333" s="2"/>
    </row>
    <row r="334" spans="2:7" x14ac:dyDescent="0.2">
      <c r="B334" s="2"/>
      <c r="C334" s="2"/>
      <c r="E334" s="2"/>
      <c r="G334" s="2"/>
    </row>
    <row r="335" spans="2:7" x14ac:dyDescent="0.2">
      <c r="B335" s="2"/>
      <c r="C335" s="2"/>
      <c r="E335" s="2"/>
      <c r="G335" s="2"/>
    </row>
    <row r="336" spans="2:7" x14ac:dyDescent="0.2">
      <c r="B336" s="2"/>
      <c r="C336" s="2"/>
      <c r="E336" s="2"/>
      <c r="G336" s="2"/>
    </row>
    <row r="337" spans="2:7" x14ac:dyDescent="0.2">
      <c r="B337" s="2"/>
      <c r="C337" s="2"/>
      <c r="E337" s="2"/>
      <c r="G337" s="2"/>
    </row>
    <row r="338" spans="2:7" x14ac:dyDescent="0.2">
      <c r="B338" s="2"/>
      <c r="C338" s="2"/>
      <c r="E338" s="2"/>
      <c r="G338" s="2"/>
    </row>
    <row r="339" spans="2:7" x14ac:dyDescent="0.2">
      <c r="B339" s="2"/>
      <c r="C339" s="2"/>
      <c r="E339" s="2"/>
      <c r="G339" s="2"/>
    </row>
    <row r="340" spans="2:7" x14ac:dyDescent="0.2">
      <c r="B340" s="2"/>
      <c r="C340" s="2"/>
      <c r="E340" s="2"/>
      <c r="G340" s="2"/>
    </row>
    <row r="341" spans="2:7" x14ac:dyDescent="0.2">
      <c r="B341" s="2"/>
      <c r="C341" s="2"/>
      <c r="E341" s="2"/>
      <c r="G341" s="2"/>
    </row>
    <row r="342" spans="2:7" x14ac:dyDescent="0.2">
      <c r="B342" s="2"/>
      <c r="C342" s="2"/>
      <c r="E342" s="2"/>
      <c r="G342" s="2"/>
    </row>
    <row r="343" spans="2:7" x14ac:dyDescent="0.2">
      <c r="B343" s="2"/>
      <c r="C343" s="2"/>
      <c r="E343" s="2"/>
      <c r="G343" s="2"/>
    </row>
    <row r="344" spans="2:7" x14ac:dyDescent="0.2">
      <c r="B344" s="2"/>
      <c r="C344" s="2"/>
      <c r="E344" s="2"/>
      <c r="G344" s="2"/>
    </row>
    <row r="345" spans="2:7" x14ac:dyDescent="0.2">
      <c r="B345" s="2"/>
      <c r="C345" s="2"/>
      <c r="E345" s="2"/>
      <c r="G345" s="2"/>
    </row>
    <row r="346" spans="2:7" x14ac:dyDescent="0.2">
      <c r="B346" s="2"/>
      <c r="C346" s="2"/>
      <c r="E346" s="2"/>
      <c r="G346" s="2"/>
    </row>
    <row r="347" spans="2:7" x14ac:dyDescent="0.2">
      <c r="B347" s="2"/>
      <c r="C347" s="2"/>
      <c r="E347" s="2"/>
      <c r="G347" s="2"/>
    </row>
    <row r="348" spans="2:7" x14ac:dyDescent="0.2">
      <c r="B348" s="2"/>
      <c r="C348" s="2"/>
      <c r="E348" s="2"/>
      <c r="G348" s="2"/>
    </row>
    <row r="349" spans="2:7" x14ac:dyDescent="0.2">
      <c r="B349" s="2"/>
      <c r="C349" s="2"/>
      <c r="E349" s="2"/>
      <c r="G349" s="2"/>
    </row>
    <row r="350" spans="2:7" x14ac:dyDescent="0.2">
      <c r="B350" s="2"/>
      <c r="C350" s="2"/>
      <c r="E350" s="2"/>
      <c r="G350" s="2"/>
    </row>
    <row r="351" spans="2:7" x14ac:dyDescent="0.2">
      <c r="B351" s="2"/>
      <c r="C351" s="2"/>
      <c r="E351" s="2"/>
      <c r="G351" s="2"/>
    </row>
    <row r="352" spans="2:7" x14ac:dyDescent="0.2">
      <c r="B352" s="2"/>
      <c r="C352" s="2"/>
      <c r="E352" s="2"/>
      <c r="G352" s="2"/>
    </row>
    <row r="353" spans="2:7" x14ac:dyDescent="0.2">
      <c r="B353" s="2"/>
      <c r="C353" s="2"/>
      <c r="E353" s="2"/>
      <c r="G353" s="2"/>
    </row>
    <row r="354" spans="2:7" x14ac:dyDescent="0.2">
      <c r="B354" s="2"/>
      <c r="C354" s="2"/>
      <c r="E354" s="2"/>
      <c r="G354" s="2"/>
    </row>
    <row r="355" spans="2:7" x14ac:dyDescent="0.2">
      <c r="B355" s="2"/>
      <c r="C355" s="2"/>
      <c r="E355" s="2"/>
      <c r="G355" s="2"/>
    </row>
    <row r="356" spans="2:7" x14ac:dyDescent="0.2">
      <c r="B356" s="2"/>
      <c r="C356" s="2"/>
      <c r="E356" s="2"/>
      <c r="G356" s="2"/>
    </row>
    <row r="357" spans="2:7" x14ac:dyDescent="0.2">
      <c r="B357" s="2"/>
      <c r="C357" s="2"/>
      <c r="E357" s="2"/>
      <c r="G357" s="2"/>
    </row>
    <row r="358" spans="2:7" x14ac:dyDescent="0.2">
      <c r="B358" s="2"/>
      <c r="C358" s="2"/>
      <c r="E358" s="2"/>
      <c r="G358" s="2"/>
    </row>
    <row r="359" spans="2:7" x14ac:dyDescent="0.2">
      <c r="B359" s="2"/>
      <c r="C359" s="2"/>
      <c r="E359" s="2"/>
      <c r="G359" s="2"/>
    </row>
    <row r="360" spans="2:7" x14ac:dyDescent="0.2">
      <c r="B360" s="2"/>
      <c r="C360" s="2"/>
      <c r="E360" s="2"/>
      <c r="G360" s="2"/>
    </row>
    <row r="361" spans="2:7" x14ac:dyDescent="0.2">
      <c r="B361" s="2"/>
      <c r="C361" s="2"/>
      <c r="E361" s="2"/>
      <c r="G361" s="2"/>
    </row>
    <row r="362" spans="2:7" x14ac:dyDescent="0.2">
      <c r="B362" s="2"/>
      <c r="C362" s="2"/>
      <c r="E362" s="2"/>
      <c r="G362" s="2"/>
    </row>
    <row r="363" spans="2:7" x14ac:dyDescent="0.2">
      <c r="B363" s="2"/>
      <c r="C363" s="2"/>
      <c r="E363" s="2"/>
      <c r="G363" s="2"/>
    </row>
    <row r="364" spans="2:7" x14ac:dyDescent="0.2">
      <c r="B364" s="2"/>
      <c r="C364" s="2"/>
      <c r="E364" s="2"/>
      <c r="G364" s="2"/>
    </row>
    <row r="365" spans="2:7" x14ac:dyDescent="0.2">
      <c r="B365" s="2"/>
      <c r="C365" s="2"/>
      <c r="E365" s="2"/>
      <c r="G365" s="2"/>
    </row>
    <row r="366" spans="2:7" x14ac:dyDescent="0.2">
      <c r="B366" s="2"/>
      <c r="C366" s="2"/>
      <c r="E366" s="2"/>
      <c r="G366" s="2"/>
    </row>
    <row r="367" spans="2:7" x14ac:dyDescent="0.2">
      <c r="B367" s="2"/>
      <c r="C367" s="2"/>
      <c r="E367" s="2"/>
      <c r="G367" s="2"/>
    </row>
    <row r="368" spans="2:7" x14ac:dyDescent="0.2">
      <c r="B368" s="2"/>
      <c r="C368" s="2"/>
      <c r="E368" s="2"/>
      <c r="G368" s="2"/>
    </row>
    <row r="369" spans="2:7" x14ac:dyDescent="0.2">
      <c r="B369" s="2"/>
      <c r="C369" s="2"/>
      <c r="E369" s="2"/>
      <c r="G369" s="2"/>
    </row>
    <row r="370" spans="2:7" x14ac:dyDescent="0.2">
      <c r="B370" s="2"/>
      <c r="C370" s="2"/>
      <c r="E370" s="2"/>
      <c r="G370" s="2"/>
    </row>
    <row r="371" spans="2:7" x14ac:dyDescent="0.2">
      <c r="B371" s="2"/>
      <c r="C371" s="2"/>
      <c r="E371" s="2"/>
      <c r="G371" s="2"/>
    </row>
    <row r="372" spans="2:7" x14ac:dyDescent="0.2">
      <c r="B372" s="2"/>
      <c r="C372" s="2"/>
      <c r="E372" s="2"/>
      <c r="G372" s="2"/>
    </row>
    <row r="373" spans="2:7" x14ac:dyDescent="0.2">
      <c r="B373" s="2"/>
      <c r="C373" s="2"/>
      <c r="E373" s="2"/>
      <c r="G373" s="2"/>
    </row>
    <row r="374" spans="2:7" x14ac:dyDescent="0.2">
      <c r="B374" s="2"/>
      <c r="C374" s="2"/>
      <c r="E374" s="2"/>
      <c r="G374" s="2"/>
    </row>
    <row r="375" spans="2:7" x14ac:dyDescent="0.2">
      <c r="B375" s="2"/>
      <c r="C375" s="2"/>
      <c r="E375" s="2"/>
      <c r="G375" s="2"/>
    </row>
    <row r="376" spans="2:7" x14ac:dyDescent="0.2">
      <c r="B376" s="2"/>
      <c r="C376" s="2"/>
      <c r="E376" s="2"/>
      <c r="G376" s="2"/>
    </row>
    <row r="377" spans="2:7" x14ac:dyDescent="0.2">
      <c r="B377" s="2"/>
      <c r="C377" s="2"/>
      <c r="E377" s="2"/>
      <c r="G377" s="2"/>
    </row>
    <row r="378" spans="2:7" x14ac:dyDescent="0.2">
      <c r="B378" s="2"/>
      <c r="C378" s="2"/>
      <c r="E378" s="2"/>
      <c r="G378" s="2"/>
    </row>
    <row r="379" spans="2:7" x14ac:dyDescent="0.2">
      <c r="B379" s="2"/>
      <c r="C379" s="2"/>
      <c r="E379" s="2"/>
      <c r="G379" s="2"/>
    </row>
    <row r="380" spans="2:7" x14ac:dyDescent="0.2">
      <c r="B380" s="2"/>
      <c r="C380" s="2"/>
      <c r="E380" s="2"/>
      <c r="G380" s="2"/>
    </row>
    <row r="381" spans="2:7" x14ac:dyDescent="0.2">
      <c r="B381" s="2"/>
      <c r="C381" s="2"/>
      <c r="E381" s="2"/>
      <c r="G381" s="2"/>
    </row>
    <row r="382" spans="2:7" x14ac:dyDescent="0.2">
      <c r="B382" s="2"/>
      <c r="C382" s="2"/>
      <c r="E382" s="2"/>
      <c r="G382" s="2"/>
    </row>
    <row r="383" spans="2:7" x14ac:dyDescent="0.2">
      <c r="B383" s="2"/>
      <c r="C383" s="2"/>
      <c r="E383" s="2"/>
      <c r="G383" s="2"/>
    </row>
    <row r="384" spans="2:7" x14ac:dyDescent="0.2">
      <c r="B384" s="2"/>
      <c r="C384" s="2"/>
      <c r="E384" s="2"/>
      <c r="G384" s="2"/>
    </row>
    <row r="385" spans="2:7" x14ac:dyDescent="0.2">
      <c r="B385" s="2"/>
      <c r="C385" s="2"/>
      <c r="E385" s="2"/>
      <c r="G385" s="2"/>
    </row>
    <row r="386" spans="2:7" x14ac:dyDescent="0.2">
      <c r="B386" s="2"/>
      <c r="C386" s="2"/>
      <c r="E386" s="2"/>
      <c r="G386" s="2"/>
    </row>
    <row r="387" spans="2:7" x14ac:dyDescent="0.2">
      <c r="B387" s="2"/>
      <c r="C387" s="2"/>
      <c r="E387" s="2"/>
      <c r="G387" s="2"/>
    </row>
    <row r="388" spans="2:7" x14ac:dyDescent="0.2">
      <c r="B388" s="2"/>
      <c r="C388" s="2"/>
      <c r="E388" s="2"/>
      <c r="G388" s="2"/>
    </row>
    <row r="389" spans="2:7" x14ac:dyDescent="0.2">
      <c r="B389" s="2"/>
      <c r="C389" s="2"/>
      <c r="E389" s="2"/>
      <c r="G389" s="2"/>
    </row>
    <row r="390" spans="2:7" x14ac:dyDescent="0.2">
      <c r="B390" s="2"/>
      <c r="C390" s="2"/>
      <c r="E390" s="2"/>
      <c r="G390" s="2"/>
    </row>
    <row r="391" spans="2:7" x14ac:dyDescent="0.2">
      <c r="B391" s="2"/>
      <c r="C391" s="2"/>
      <c r="E391" s="2"/>
      <c r="G391" s="2"/>
    </row>
    <row r="392" spans="2:7" x14ac:dyDescent="0.2">
      <c r="B392" s="2"/>
      <c r="C392" s="2"/>
      <c r="E392" s="2"/>
      <c r="G392" s="2"/>
    </row>
    <row r="393" spans="2:7" x14ac:dyDescent="0.2">
      <c r="B393" s="2"/>
      <c r="C393" s="2"/>
      <c r="E393" s="2"/>
      <c r="G393" s="2"/>
    </row>
    <row r="394" spans="2:7" x14ac:dyDescent="0.2">
      <c r="B394" s="2"/>
      <c r="C394" s="2"/>
      <c r="E394" s="2"/>
      <c r="G394" s="2"/>
    </row>
    <row r="395" spans="2:7" x14ac:dyDescent="0.2">
      <c r="B395" s="2"/>
      <c r="C395" s="2"/>
      <c r="E395" s="2"/>
      <c r="G395" s="2"/>
    </row>
    <row r="396" spans="2:7" x14ac:dyDescent="0.2">
      <c r="B396" s="2"/>
      <c r="C396" s="2"/>
      <c r="E396" s="2"/>
      <c r="G396" s="2"/>
    </row>
    <row r="397" spans="2:7" x14ac:dyDescent="0.2">
      <c r="B397" s="2"/>
      <c r="C397" s="2"/>
      <c r="E397" s="2"/>
      <c r="G397" s="2"/>
    </row>
    <row r="398" spans="2:7" x14ac:dyDescent="0.2">
      <c r="B398" s="2"/>
      <c r="C398" s="2"/>
      <c r="E398" s="2"/>
      <c r="G398" s="2"/>
    </row>
    <row r="399" spans="2:7" x14ac:dyDescent="0.2">
      <c r="B399" s="2"/>
      <c r="C399" s="2"/>
      <c r="E399" s="2"/>
      <c r="G399" s="2"/>
    </row>
    <row r="400" spans="2:7" x14ac:dyDescent="0.2">
      <c r="B400" s="2"/>
      <c r="C400" s="2"/>
      <c r="E400" s="2"/>
      <c r="G400" s="2"/>
    </row>
    <row r="401" spans="2:7" x14ac:dyDescent="0.2">
      <c r="B401" s="2"/>
      <c r="C401" s="2"/>
      <c r="E401" s="2"/>
      <c r="G401" s="2"/>
    </row>
    <row r="402" spans="2:7" x14ac:dyDescent="0.2">
      <c r="B402" s="2"/>
      <c r="C402" s="2"/>
      <c r="E402" s="2"/>
      <c r="G402" s="2"/>
    </row>
    <row r="403" spans="2:7" x14ac:dyDescent="0.2">
      <c r="B403" s="2"/>
      <c r="C403" s="2"/>
      <c r="E403" s="2"/>
      <c r="G403" s="2"/>
    </row>
    <row r="404" spans="2:7" x14ac:dyDescent="0.2">
      <c r="B404" s="2"/>
      <c r="C404" s="2"/>
      <c r="E404" s="2"/>
      <c r="G404" s="2"/>
    </row>
    <row r="405" spans="2:7" x14ac:dyDescent="0.2">
      <c r="B405" s="2"/>
      <c r="C405" s="2"/>
      <c r="E405" s="2"/>
      <c r="G405" s="2"/>
    </row>
    <row r="406" spans="2:7" x14ac:dyDescent="0.2">
      <c r="B406" s="2"/>
      <c r="C406" s="2"/>
      <c r="E406" s="2"/>
      <c r="G406" s="2"/>
    </row>
    <row r="407" spans="2:7" x14ac:dyDescent="0.2">
      <c r="B407" s="2"/>
      <c r="C407" s="2"/>
      <c r="E407" s="2"/>
      <c r="G407" s="2"/>
    </row>
    <row r="408" spans="2:7" x14ac:dyDescent="0.2">
      <c r="B408" s="2"/>
      <c r="C408" s="2"/>
      <c r="E408" s="2"/>
      <c r="G408" s="2"/>
    </row>
    <row r="409" spans="2:7" x14ac:dyDescent="0.2">
      <c r="B409" s="2"/>
      <c r="C409" s="2"/>
      <c r="E409" s="2"/>
      <c r="G409" s="2"/>
    </row>
    <row r="410" spans="2:7" x14ac:dyDescent="0.2">
      <c r="B410" s="2"/>
      <c r="C410" s="2"/>
      <c r="E410" s="2"/>
      <c r="G410" s="2"/>
    </row>
    <row r="411" spans="2:7" x14ac:dyDescent="0.2">
      <c r="B411" s="2"/>
      <c r="C411" s="2"/>
      <c r="E411" s="2"/>
      <c r="G411" s="2"/>
    </row>
    <row r="412" spans="2:7" x14ac:dyDescent="0.2">
      <c r="B412" s="2"/>
      <c r="C412" s="2"/>
      <c r="E412" s="2"/>
      <c r="G412" s="2"/>
    </row>
    <row r="413" spans="2:7" x14ac:dyDescent="0.2">
      <c r="B413" s="2"/>
      <c r="C413" s="2"/>
      <c r="E413" s="2"/>
      <c r="G413" s="2"/>
    </row>
    <row r="414" spans="2:7" x14ac:dyDescent="0.2">
      <c r="B414" s="2"/>
      <c r="C414" s="2"/>
      <c r="E414" s="2"/>
      <c r="G414" s="2"/>
    </row>
    <row r="415" spans="2:7" x14ac:dyDescent="0.2">
      <c r="B415" s="2"/>
      <c r="C415" s="2"/>
      <c r="E415" s="2"/>
      <c r="G415" s="2"/>
    </row>
    <row r="416" spans="2:7" x14ac:dyDescent="0.2">
      <c r="B416" s="2"/>
      <c r="C416" s="2"/>
      <c r="E416" s="2"/>
      <c r="G416" s="2"/>
    </row>
    <row r="417" spans="2:7" x14ac:dyDescent="0.2">
      <c r="B417" s="2"/>
      <c r="C417" s="2"/>
      <c r="E417" s="2"/>
      <c r="G417" s="2"/>
    </row>
    <row r="418" spans="2:7" x14ac:dyDescent="0.2">
      <c r="B418" s="2"/>
      <c r="C418" s="2"/>
      <c r="E418" s="2"/>
      <c r="G418" s="2"/>
    </row>
    <row r="419" spans="2:7" x14ac:dyDescent="0.2">
      <c r="B419" s="2"/>
      <c r="C419" s="2"/>
      <c r="E419" s="2"/>
      <c r="G419" s="2"/>
    </row>
    <row r="420" spans="2:7" x14ac:dyDescent="0.2">
      <c r="B420" s="2"/>
      <c r="C420" s="2"/>
      <c r="E420" s="2"/>
      <c r="G420" s="2"/>
    </row>
    <row r="421" spans="2:7" x14ac:dyDescent="0.2">
      <c r="B421" s="2"/>
      <c r="C421" s="2"/>
      <c r="E421" s="2"/>
      <c r="G421" s="2"/>
    </row>
    <row r="422" spans="2:7" x14ac:dyDescent="0.2">
      <c r="B422" s="2"/>
      <c r="C422" s="2"/>
      <c r="E422" s="2"/>
      <c r="G422" s="2"/>
    </row>
    <row r="423" spans="2:7" x14ac:dyDescent="0.2">
      <c r="B423" s="2"/>
      <c r="C423" s="2"/>
      <c r="E423" s="2"/>
      <c r="G423" s="2"/>
    </row>
    <row r="424" spans="2:7" x14ac:dyDescent="0.2">
      <c r="B424" s="2"/>
      <c r="C424" s="2"/>
      <c r="E424" s="2"/>
      <c r="G424" s="2"/>
    </row>
    <row r="425" spans="2:7" x14ac:dyDescent="0.2">
      <c r="B425" s="2"/>
      <c r="C425" s="2"/>
      <c r="E425" s="2"/>
      <c r="G425" s="2"/>
    </row>
    <row r="426" spans="2:7" x14ac:dyDescent="0.2">
      <c r="B426" s="2"/>
      <c r="C426" s="2"/>
      <c r="E426" s="2"/>
      <c r="G426" s="2"/>
    </row>
    <row r="427" spans="2:7" x14ac:dyDescent="0.2">
      <c r="B427" s="2"/>
      <c r="C427" s="2"/>
      <c r="E427" s="2"/>
      <c r="G427" s="2"/>
    </row>
    <row r="428" spans="2:7" x14ac:dyDescent="0.2">
      <c r="B428" s="2"/>
      <c r="C428" s="2"/>
      <c r="E428" s="2"/>
      <c r="G428" s="2"/>
    </row>
    <row r="429" spans="2:7" x14ac:dyDescent="0.2">
      <c r="B429" s="2"/>
      <c r="C429" s="2"/>
      <c r="E429" s="2"/>
      <c r="G429" s="2"/>
    </row>
    <row r="430" spans="2:7" x14ac:dyDescent="0.2">
      <c r="B430" s="2"/>
      <c r="C430" s="2"/>
      <c r="E430" s="2"/>
      <c r="G430" s="2"/>
    </row>
    <row r="431" spans="2:7" x14ac:dyDescent="0.2">
      <c r="B431" s="2"/>
      <c r="C431" s="2"/>
      <c r="E431" s="2"/>
      <c r="G431" s="2"/>
    </row>
    <row r="432" spans="2:7" x14ac:dyDescent="0.2">
      <c r="B432" s="2"/>
      <c r="C432" s="2"/>
      <c r="E432" s="2"/>
      <c r="G432" s="2"/>
    </row>
    <row r="433" spans="2:7" x14ac:dyDescent="0.2">
      <c r="B433" s="2"/>
      <c r="C433" s="2"/>
      <c r="E433" s="2"/>
      <c r="G433" s="2"/>
    </row>
    <row r="434" spans="2:7" x14ac:dyDescent="0.2">
      <c r="B434" s="2"/>
      <c r="C434" s="2"/>
      <c r="E434" s="2"/>
      <c r="G434" s="2"/>
    </row>
    <row r="435" spans="2:7" x14ac:dyDescent="0.2">
      <c r="B435" s="2"/>
      <c r="C435" s="2"/>
      <c r="E435" s="2"/>
      <c r="G435" s="2"/>
    </row>
    <row r="436" spans="2:7" x14ac:dyDescent="0.2">
      <c r="B436" s="2"/>
      <c r="C436" s="2"/>
      <c r="E436" s="2"/>
      <c r="G436" s="2"/>
    </row>
    <row r="437" spans="2:7" x14ac:dyDescent="0.2">
      <c r="B437" s="2"/>
      <c r="C437" s="2"/>
      <c r="E437" s="2"/>
      <c r="G437" s="2"/>
    </row>
    <row r="438" spans="2:7" x14ac:dyDescent="0.2">
      <c r="B438" s="2"/>
      <c r="C438" s="2"/>
      <c r="E438" s="2"/>
      <c r="G438" s="2"/>
    </row>
    <row r="439" spans="2:7" x14ac:dyDescent="0.2">
      <c r="B439" s="2"/>
      <c r="C439" s="2"/>
      <c r="E439" s="2"/>
      <c r="G439" s="2"/>
    </row>
    <row r="440" spans="2:7" x14ac:dyDescent="0.2">
      <c r="B440" s="2"/>
      <c r="C440" s="2"/>
      <c r="E440" s="2"/>
      <c r="G440" s="2"/>
    </row>
    <row r="441" spans="2:7" x14ac:dyDescent="0.2">
      <c r="B441" s="2"/>
      <c r="C441" s="2"/>
      <c r="E441" s="2"/>
      <c r="G441" s="2"/>
    </row>
    <row r="442" spans="2:7" x14ac:dyDescent="0.2">
      <c r="B442" s="2"/>
      <c r="C442" s="2"/>
      <c r="E442" s="2"/>
      <c r="G442" s="2"/>
    </row>
    <row r="443" spans="2:7" x14ac:dyDescent="0.2">
      <c r="B443" s="2"/>
      <c r="C443" s="2"/>
      <c r="E443" s="2"/>
      <c r="G443" s="2"/>
    </row>
    <row r="444" spans="2:7" x14ac:dyDescent="0.2">
      <c r="B444" s="2"/>
      <c r="C444" s="2"/>
      <c r="E444" s="2"/>
      <c r="G444" s="2"/>
    </row>
    <row r="445" spans="2:7" x14ac:dyDescent="0.2">
      <c r="B445" s="2"/>
      <c r="C445" s="2"/>
      <c r="E445" s="2"/>
      <c r="G445" s="2"/>
    </row>
    <row r="446" spans="2:7" x14ac:dyDescent="0.2">
      <c r="B446" s="2"/>
      <c r="C446" s="2"/>
      <c r="E446" s="2"/>
      <c r="G446" s="2"/>
    </row>
    <row r="447" spans="2:7" x14ac:dyDescent="0.2">
      <c r="B447" s="2"/>
      <c r="C447" s="2"/>
      <c r="E447" s="2"/>
      <c r="G447" s="2"/>
    </row>
    <row r="448" spans="2:7" x14ac:dyDescent="0.2">
      <c r="B448" s="2"/>
      <c r="C448" s="2"/>
      <c r="E448" s="2"/>
      <c r="G448" s="2"/>
    </row>
    <row r="449" spans="2:7" x14ac:dyDescent="0.2">
      <c r="B449" s="2"/>
      <c r="C449" s="2"/>
      <c r="E449" s="2"/>
      <c r="G449" s="2"/>
    </row>
    <row r="450" spans="2:7" x14ac:dyDescent="0.2">
      <c r="B450" s="2"/>
      <c r="C450" s="2"/>
      <c r="E450" s="2"/>
      <c r="G450" s="2"/>
    </row>
    <row r="451" spans="2:7" x14ac:dyDescent="0.2">
      <c r="B451" s="2"/>
      <c r="C451" s="2"/>
      <c r="E451" s="2"/>
      <c r="G451" s="2"/>
    </row>
    <row r="452" spans="2:7" x14ac:dyDescent="0.2">
      <c r="B452" s="2"/>
      <c r="C452" s="2"/>
      <c r="E452" s="2"/>
      <c r="G452" s="2"/>
    </row>
    <row r="453" spans="2:7" x14ac:dyDescent="0.2">
      <c r="B453" s="2"/>
      <c r="C453" s="2"/>
      <c r="E453" s="2"/>
      <c r="G453" s="2"/>
    </row>
    <row r="454" spans="2:7" x14ac:dyDescent="0.2">
      <c r="B454" s="2"/>
      <c r="C454" s="2"/>
      <c r="E454" s="2"/>
      <c r="G454" s="2"/>
    </row>
    <row r="455" spans="2:7" x14ac:dyDescent="0.2">
      <c r="B455" s="2"/>
      <c r="C455" s="2"/>
      <c r="E455" s="2"/>
      <c r="G455" s="2"/>
    </row>
    <row r="456" spans="2:7" x14ac:dyDescent="0.2">
      <c r="B456" s="2"/>
      <c r="C456" s="2"/>
      <c r="E456" s="2"/>
      <c r="G456" s="2"/>
    </row>
    <row r="457" spans="2:7" x14ac:dyDescent="0.2">
      <c r="B457" s="2"/>
      <c r="C457" s="2"/>
      <c r="E457" s="2"/>
      <c r="G457" s="2"/>
    </row>
    <row r="458" spans="2:7" x14ac:dyDescent="0.2">
      <c r="B458" s="2"/>
      <c r="C458" s="2"/>
      <c r="E458" s="2"/>
      <c r="G458" s="2"/>
    </row>
    <row r="459" spans="2:7" x14ac:dyDescent="0.2">
      <c r="B459" s="2"/>
      <c r="C459" s="2"/>
      <c r="E459" s="2"/>
      <c r="G459" s="2"/>
    </row>
    <row r="460" spans="2:7" x14ac:dyDescent="0.2">
      <c r="B460" s="2"/>
      <c r="C460" s="2"/>
      <c r="E460" s="2"/>
      <c r="G460" s="2"/>
    </row>
    <row r="461" spans="2:7" x14ac:dyDescent="0.2">
      <c r="B461" s="2"/>
      <c r="C461" s="2"/>
      <c r="E461" s="2"/>
      <c r="G461" s="2"/>
    </row>
    <row r="462" spans="2:7" x14ac:dyDescent="0.2">
      <c r="B462" s="2"/>
      <c r="C462" s="2"/>
      <c r="E462" s="2"/>
      <c r="G462" s="2"/>
    </row>
    <row r="463" spans="2:7" x14ac:dyDescent="0.2">
      <c r="B463" s="2"/>
      <c r="C463" s="2"/>
      <c r="E463" s="2"/>
      <c r="G463" s="2"/>
    </row>
    <row r="464" spans="2:7" x14ac:dyDescent="0.2">
      <c r="B464" s="2"/>
      <c r="C464" s="2"/>
      <c r="E464" s="2"/>
      <c r="G464" s="2"/>
    </row>
    <row r="465" spans="2:7" x14ac:dyDescent="0.2">
      <c r="B465" s="2"/>
      <c r="C465" s="2"/>
      <c r="E465" s="2"/>
      <c r="G465" s="2"/>
    </row>
    <row r="466" spans="2:7" x14ac:dyDescent="0.2">
      <c r="B466" s="2"/>
      <c r="C466" s="2"/>
      <c r="E466" s="2"/>
      <c r="G466" s="2"/>
    </row>
    <row r="467" spans="2:7" x14ac:dyDescent="0.2">
      <c r="B467" s="2"/>
      <c r="C467" s="2"/>
      <c r="E467" s="2"/>
      <c r="G467" s="2"/>
    </row>
    <row r="468" spans="2:7" x14ac:dyDescent="0.2">
      <c r="B468" s="2"/>
      <c r="C468" s="2"/>
      <c r="E468" s="2"/>
      <c r="G468" s="2"/>
    </row>
    <row r="469" spans="2:7" x14ac:dyDescent="0.2">
      <c r="B469" s="2"/>
      <c r="C469" s="2"/>
      <c r="E469" s="2"/>
      <c r="G469" s="2"/>
    </row>
    <row r="470" spans="2:7" x14ac:dyDescent="0.2">
      <c r="B470" s="2"/>
      <c r="C470" s="2"/>
      <c r="E470" s="2"/>
      <c r="G470" s="2"/>
    </row>
    <row r="471" spans="2:7" x14ac:dyDescent="0.2">
      <c r="B471" s="2"/>
      <c r="C471" s="2"/>
      <c r="E471" s="2"/>
      <c r="G471" s="2"/>
    </row>
    <row r="472" spans="2:7" x14ac:dyDescent="0.2">
      <c r="B472" s="2"/>
      <c r="C472" s="2"/>
      <c r="E472" s="2"/>
      <c r="G472" s="2"/>
    </row>
    <row r="473" spans="2:7" x14ac:dyDescent="0.2">
      <c r="B473" s="2"/>
      <c r="C473" s="2"/>
      <c r="E473" s="2"/>
      <c r="G473" s="2"/>
    </row>
    <row r="474" spans="2:7" x14ac:dyDescent="0.2">
      <c r="B474" s="2"/>
      <c r="C474" s="2"/>
      <c r="E474" s="2"/>
      <c r="G474" s="2"/>
    </row>
    <row r="475" spans="2:7" x14ac:dyDescent="0.2">
      <c r="B475" s="2"/>
      <c r="C475" s="2"/>
      <c r="E475" s="2"/>
      <c r="G475" s="2"/>
    </row>
    <row r="476" spans="2:7" x14ac:dyDescent="0.2">
      <c r="B476" s="2"/>
      <c r="C476" s="2"/>
      <c r="E476" s="2"/>
      <c r="G476" s="2"/>
    </row>
    <row r="477" spans="2:7" x14ac:dyDescent="0.2">
      <c r="B477" s="2"/>
      <c r="C477" s="2"/>
      <c r="E477" s="2"/>
      <c r="G477" s="2"/>
    </row>
    <row r="478" spans="2:7" x14ac:dyDescent="0.2">
      <c r="B478" s="2"/>
      <c r="C478" s="2"/>
      <c r="E478" s="2"/>
      <c r="G478" s="2"/>
    </row>
    <row r="479" spans="2:7" x14ac:dyDescent="0.2">
      <c r="B479" s="2"/>
      <c r="C479" s="2"/>
      <c r="E479" s="2"/>
      <c r="G479" s="2"/>
    </row>
    <row r="480" spans="2:7" x14ac:dyDescent="0.2">
      <c r="B480" s="2"/>
      <c r="C480" s="2"/>
      <c r="E480" s="2"/>
      <c r="G480" s="2"/>
    </row>
    <row r="481" spans="2:7" x14ac:dyDescent="0.2">
      <c r="B481" s="2"/>
      <c r="C481" s="2"/>
      <c r="E481" s="2"/>
      <c r="G481" s="2"/>
    </row>
    <row r="482" spans="2:7" x14ac:dyDescent="0.2">
      <c r="B482" s="2"/>
      <c r="C482" s="2"/>
      <c r="E482" s="2"/>
      <c r="G482" s="2"/>
    </row>
    <row r="483" spans="2:7" x14ac:dyDescent="0.2">
      <c r="B483" s="2"/>
      <c r="C483" s="2"/>
      <c r="E483" s="2"/>
      <c r="G483" s="2"/>
    </row>
    <row r="484" spans="2:7" x14ac:dyDescent="0.2">
      <c r="B484" s="2"/>
      <c r="C484" s="2"/>
      <c r="E484" s="2"/>
      <c r="G484" s="2"/>
    </row>
    <row r="485" spans="2:7" x14ac:dyDescent="0.2">
      <c r="B485" s="2"/>
      <c r="C485" s="2"/>
      <c r="E485" s="2"/>
      <c r="G485" s="2"/>
    </row>
    <row r="486" spans="2:7" x14ac:dyDescent="0.2">
      <c r="B486" s="2"/>
      <c r="C486" s="2"/>
      <c r="E486" s="2"/>
      <c r="G486" s="2"/>
    </row>
    <row r="487" spans="2:7" x14ac:dyDescent="0.2">
      <c r="B487" s="2"/>
      <c r="C487" s="2"/>
      <c r="E487" s="2"/>
      <c r="G487" s="2"/>
    </row>
    <row r="488" spans="2:7" x14ac:dyDescent="0.2">
      <c r="B488" s="2"/>
      <c r="C488" s="2"/>
      <c r="E488" s="2"/>
      <c r="G488" s="2"/>
    </row>
    <row r="489" spans="2:7" x14ac:dyDescent="0.2">
      <c r="B489" s="2"/>
      <c r="C489" s="2"/>
      <c r="E489" s="2"/>
      <c r="G489" s="2"/>
    </row>
    <row r="490" spans="2:7" x14ac:dyDescent="0.2">
      <c r="B490" s="2"/>
      <c r="C490" s="2"/>
      <c r="E490" s="2"/>
      <c r="G490" s="2"/>
    </row>
    <row r="491" spans="2:7" x14ac:dyDescent="0.2">
      <c r="B491" s="2"/>
      <c r="C491" s="2"/>
      <c r="E491" s="2"/>
      <c r="G491" s="2"/>
    </row>
    <row r="492" spans="2:7" x14ac:dyDescent="0.2">
      <c r="B492" s="2"/>
      <c r="C492" s="2"/>
      <c r="E492" s="2"/>
      <c r="G492" s="2"/>
    </row>
    <row r="493" spans="2:7" x14ac:dyDescent="0.2">
      <c r="B493" s="2"/>
      <c r="C493" s="2"/>
      <c r="E493" s="2"/>
      <c r="G493" s="2"/>
    </row>
    <row r="494" spans="2:7" x14ac:dyDescent="0.2">
      <c r="B494" s="2"/>
      <c r="C494" s="2"/>
      <c r="E494" s="2"/>
      <c r="G494" s="2"/>
    </row>
    <row r="495" spans="2:7" x14ac:dyDescent="0.2">
      <c r="B495" s="2"/>
      <c r="C495" s="2"/>
      <c r="E495" s="2"/>
      <c r="G495" s="2"/>
    </row>
    <row r="496" spans="2:7" x14ac:dyDescent="0.2">
      <c r="B496" s="2"/>
      <c r="C496" s="2"/>
      <c r="E496" s="2"/>
      <c r="G496" s="2"/>
    </row>
    <row r="497" spans="2:7" x14ac:dyDescent="0.2">
      <c r="B497" s="2"/>
      <c r="C497" s="2"/>
      <c r="E497" s="2"/>
      <c r="G497" s="2"/>
    </row>
    <row r="498" spans="2:7" x14ac:dyDescent="0.2">
      <c r="B498" s="2"/>
      <c r="C498" s="2"/>
      <c r="E498" s="2"/>
      <c r="G498" s="2"/>
    </row>
    <row r="499" spans="2:7" x14ac:dyDescent="0.2">
      <c r="B499" s="2"/>
      <c r="C499" s="2"/>
      <c r="E499" s="2"/>
      <c r="G499" s="2"/>
    </row>
    <row r="500" spans="2:7" x14ac:dyDescent="0.2">
      <c r="B500" s="2"/>
      <c r="C500" s="2"/>
      <c r="E500" s="2"/>
      <c r="G500" s="2"/>
    </row>
    <row r="501" spans="2:7" x14ac:dyDescent="0.2">
      <c r="B501" s="2"/>
      <c r="C501" s="2"/>
      <c r="E501" s="2"/>
      <c r="G501" s="2"/>
    </row>
    <row r="502" spans="2:7" x14ac:dyDescent="0.2">
      <c r="B502" s="2"/>
      <c r="C502" s="2"/>
      <c r="E502" s="2"/>
      <c r="G502" s="2"/>
    </row>
    <row r="503" spans="2:7" x14ac:dyDescent="0.2">
      <c r="B503" s="2"/>
      <c r="C503" s="2"/>
      <c r="E503" s="2"/>
      <c r="G503" s="2"/>
    </row>
    <row r="504" spans="2:7" x14ac:dyDescent="0.2">
      <c r="B504" s="2"/>
      <c r="C504" s="2"/>
      <c r="E504" s="2"/>
      <c r="G504" s="2"/>
    </row>
    <row r="505" spans="2:7" x14ac:dyDescent="0.2">
      <c r="B505" s="2"/>
      <c r="C505" s="2"/>
      <c r="E505" s="2"/>
      <c r="G505" s="2"/>
    </row>
    <row r="506" spans="2:7" x14ac:dyDescent="0.2">
      <c r="B506" s="2"/>
      <c r="C506" s="2"/>
      <c r="E506" s="2"/>
      <c r="G506" s="2"/>
    </row>
    <row r="507" spans="2:7" x14ac:dyDescent="0.2">
      <c r="B507" s="2"/>
      <c r="C507" s="2"/>
      <c r="E507" s="2"/>
      <c r="G507" s="2"/>
    </row>
    <row r="508" spans="2:7" x14ac:dyDescent="0.2">
      <c r="B508" s="2"/>
      <c r="C508" s="2"/>
      <c r="E508" s="2"/>
      <c r="G508" s="2"/>
    </row>
    <row r="509" spans="2:7" x14ac:dyDescent="0.2">
      <c r="B509" s="2"/>
      <c r="C509" s="2"/>
      <c r="E509" s="2"/>
      <c r="G509" s="2"/>
    </row>
    <row r="510" spans="2:7" x14ac:dyDescent="0.2">
      <c r="B510" s="2"/>
      <c r="C510" s="2"/>
      <c r="E510" s="2"/>
      <c r="G510" s="2"/>
    </row>
    <row r="511" spans="2:7" x14ac:dyDescent="0.2">
      <c r="B511" s="2"/>
      <c r="C511" s="2"/>
      <c r="E511" s="2"/>
      <c r="G511" s="2"/>
    </row>
    <row r="512" spans="2:7" x14ac:dyDescent="0.2">
      <c r="B512" s="2"/>
      <c r="C512" s="2"/>
      <c r="E512" s="2"/>
      <c r="G512" s="2"/>
    </row>
    <row r="513" spans="2:7" x14ac:dyDescent="0.2">
      <c r="B513" s="2"/>
      <c r="C513" s="2"/>
      <c r="E513" s="2"/>
      <c r="G513" s="2"/>
    </row>
    <row r="514" spans="2:7" x14ac:dyDescent="0.2">
      <c r="B514" s="2"/>
      <c r="C514" s="2"/>
      <c r="E514" s="2"/>
      <c r="G514" s="2"/>
    </row>
    <row r="515" spans="2:7" x14ac:dyDescent="0.2">
      <c r="B515" s="2"/>
      <c r="C515" s="2"/>
      <c r="E515" s="2"/>
      <c r="G515" s="2"/>
    </row>
    <row r="516" spans="2:7" x14ac:dyDescent="0.2">
      <c r="B516" s="2"/>
      <c r="C516" s="2"/>
      <c r="E516" s="2"/>
      <c r="G516" s="2"/>
    </row>
    <row r="517" spans="2:7" x14ac:dyDescent="0.2">
      <c r="B517" s="2"/>
      <c r="C517" s="2"/>
      <c r="E517" s="2"/>
      <c r="G517" s="2"/>
    </row>
    <row r="518" spans="2:7" x14ac:dyDescent="0.2">
      <c r="B518" s="2"/>
      <c r="C518" s="2"/>
      <c r="E518" s="2"/>
      <c r="G518" s="2"/>
    </row>
    <row r="519" spans="2:7" x14ac:dyDescent="0.2">
      <c r="B519" s="2"/>
      <c r="C519" s="2"/>
      <c r="E519" s="2"/>
      <c r="G519" s="2"/>
    </row>
    <row r="520" spans="2:7" x14ac:dyDescent="0.2">
      <c r="B520" s="2"/>
      <c r="C520" s="2"/>
      <c r="E520" s="2"/>
      <c r="G520" s="2"/>
    </row>
    <row r="521" spans="2:7" x14ac:dyDescent="0.2">
      <c r="B521" s="2"/>
      <c r="C521" s="2"/>
      <c r="E521" s="2"/>
      <c r="G521" s="2"/>
    </row>
    <row r="522" spans="2:7" x14ac:dyDescent="0.2">
      <c r="B522" s="2"/>
      <c r="C522" s="2"/>
      <c r="E522" s="2"/>
      <c r="G522" s="2"/>
    </row>
    <row r="523" spans="2:7" x14ac:dyDescent="0.2">
      <c r="B523" s="2"/>
      <c r="C523" s="2"/>
      <c r="E523" s="2"/>
      <c r="G523" s="2"/>
    </row>
    <row r="524" spans="2:7" x14ac:dyDescent="0.2">
      <c r="B524" s="2"/>
      <c r="C524" s="2"/>
      <c r="E524" s="2"/>
      <c r="G524" s="2"/>
    </row>
    <row r="525" spans="2:7" x14ac:dyDescent="0.2">
      <c r="B525" s="2"/>
      <c r="C525" s="2"/>
      <c r="E525" s="2"/>
      <c r="G525" s="2"/>
    </row>
    <row r="526" spans="2:7" x14ac:dyDescent="0.2">
      <c r="B526" s="2"/>
      <c r="C526" s="2"/>
      <c r="E526" s="2"/>
      <c r="G526" s="2"/>
    </row>
    <row r="527" spans="2:7" x14ac:dyDescent="0.2">
      <c r="B527" s="2"/>
      <c r="C527" s="2"/>
      <c r="E527" s="2"/>
      <c r="G527" s="2"/>
    </row>
    <row r="528" spans="2:7" x14ac:dyDescent="0.2">
      <c r="B528" s="2"/>
      <c r="C528" s="2"/>
      <c r="E528" s="2"/>
      <c r="G528" s="2"/>
    </row>
    <row r="529" spans="2:7" x14ac:dyDescent="0.2">
      <c r="B529" s="2"/>
      <c r="C529" s="2"/>
      <c r="E529" s="2"/>
      <c r="G529" s="2"/>
    </row>
    <row r="530" spans="2:7" x14ac:dyDescent="0.2">
      <c r="B530" s="2"/>
      <c r="C530" s="2"/>
      <c r="E530" s="2"/>
      <c r="G530" s="2"/>
    </row>
    <row r="531" spans="2:7" x14ac:dyDescent="0.2">
      <c r="B531" s="2"/>
      <c r="C531" s="2"/>
      <c r="E531" s="2"/>
      <c r="G531" s="2"/>
    </row>
    <row r="532" spans="2:7" x14ac:dyDescent="0.2">
      <c r="B532" s="2"/>
      <c r="C532" s="2"/>
      <c r="E532" s="2"/>
      <c r="G532" s="2"/>
    </row>
    <row r="533" spans="2:7" x14ac:dyDescent="0.2">
      <c r="B533" s="2"/>
      <c r="C533" s="2"/>
      <c r="E533" s="2"/>
      <c r="G533" s="2"/>
    </row>
    <row r="534" spans="2:7" x14ac:dyDescent="0.2">
      <c r="B534" s="2"/>
      <c r="C534" s="2"/>
      <c r="E534" s="2"/>
      <c r="G534" s="2"/>
    </row>
    <row r="535" spans="2:7" x14ac:dyDescent="0.2">
      <c r="B535" s="2"/>
      <c r="C535" s="2"/>
      <c r="E535" s="2"/>
      <c r="G535" s="2"/>
    </row>
    <row r="536" spans="2:7" x14ac:dyDescent="0.2">
      <c r="B536" s="2"/>
      <c r="C536" s="2"/>
      <c r="E536" s="2"/>
      <c r="G536" s="2"/>
    </row>
    <row r="537" spans="2:7" x14ac:dyDescent="0.2">
      <c r="B537" s="2"/>
      <c r="C537" s="2"/>
      <c r="E537" s="2"/>
      <c r="G537" s="2"/>
    </row>
    <row r="538" spans="2:7" x14ac:dyDescent="0.2">
      <c r="B538" s="2"/>
      <c r="C538" s="2"/>
      <c r="E538" s="2"/>
      <c r="G538" s="2"/>
    </row>
    <row r="539" spans="2:7" x14ac:dyDescent="0.2">
      <c r="B539" s="2"/>
      <c r="C539" s="2"/>
      <c r="E539" s="2"/>
      <c r="G539" s="2"/>
    </row>
    <row r="540" spans="2:7" x14ac:dyDescent="0.2">
      <c r="B540" s="2"/>
      <c r="C540" s="2"/>
      <c r="E540" s="2"/>
      <c r="G540" s="2"/>
    </row>
    <row r="541" spans="2:7" x14ac:dyDescent="0.2">
      <c r="B541" s="2"/>
      <c r="C541" s="2"/>
      <c r="E541" s="2"/>
      <c r="G541" s="2"/>
    </row>
    <row r="542" spans="2:7" x14ac:dyDescent="0.2">
      <c r="B542" s="2"/>
      <c r="C542" s="2"/>
      <c r="E542" s="2"/>
      <c r="G542" s="2"/>
    </row>
    <row r="543" spans="2:7" x14ac:dyDescent="0.2">
      <c r="B543" s="2"/>
      <c r="C543" s="2"/>
      <c r="E543" s="2"/>
      <c r="G543" s="2"/>
    </row>
    <row r="544" spans="2:7" x14ac:dyDescent="0.2">
      <c r="B544" s="2"/>
      <c r="C544" s="2"/>
      <c r="E544" s="2"/>
      <c r="G544" s="2"/>
    </row>
    <row r="545" spans="2:7" x14ac:dyDescent="0.2">
      <c r="B545" s="2"/>
      <c r="C545" s="2"/>
      <c r="E545" s="2"/>
      <c r="G545" s="2"/>
    </row>
    <row r="546" spans="2:7" x14ac:dyDescent="0.2">
      <c r="B546" s="2"/>
      <c r="C546" s="2"/>
      <c r="E546" s="2"/>
      <c r="G546" s="2"/>
    </row>
    <row r="547" spans="2:7" x14ac:dyDescent="0.2">
      <c r="B547" s="2"/>
      <c r="C547" s="2"/>
      <c r="E547" s="2"/>
      <c r="G547" s="2"/>
    </row>
    <row r="548" spans="2:7" x14ac:dyDescent="0.2">
      <c r="B548" s="2"/>
      <c r="C548" s="2"/>
      <c r="E548" s="2"/>
      <c r="G548" s="2"/>
    </row>
    <row r="549" spans="2:7" x14ac:dyDescent="0.2">
      <c r="B549" s="2"/>
      <c r="C549" s="2"/>
      <c r="E549" s="2"/>
      <c r="G549" s="2"/>
    </row>
    <row r="550" spans="2:7" x14ac:dyDescent="0.2">
      <c r="B550" s="2"/>
      <c r="C550" s="2"/>
      <c r="E550" s="2"/>
      <c r="G550" s="2"/>
    </row>
    <row r="551" spans="2:7" x14ac:dyDescent="0.2">
      <c r="B551" s="2"/>
      <c r="C551" s="2"/>
      <c r="E551" s="2"/>
      <c r="G551" s="2"/>
    </row>
    <row r="552" spans="2:7" x14ac:dyDescent="0.2">
      <c r="B552" s="2"/>
      <c r="C552" s="2"/>
      <c r="E552" s="2"/>
      <c r="G552" s="2"/>
    </row>
    <row r="553" spans="2:7" x14ac:dyDescent="0.2">
      <c r="B553" s="2"/>
      <c r="C553" s="2"/>
      <c r="E553" s="2"/>
      <c r="G553" s="2"/>
    </row>
    <row r="554" spans="2:7" x14ac:dyDescent="0.2">
      <c r="B554" s="2"/>
      <c r="C554" s="2"/>
      <c r="E554" s="2"/>
      <c r="G554" s="2"/>
    </row>
    <row r="555" spans="2:7" x14ac:dyDescent="0.2">
      <c r="B555" s="2"/>
      <c r="C555" s="2"/>
      <c r="E555" s="2"/>
      <c r="G555" s="2"/>
    </row>
    <row r="556" spans="2:7" x14ac:dyDescent="0.2">
      <c r="B556" s="2"/>
      <c r="C556" s="2"/>
      <c r="E556" s="2"/>
      <c r="G556" s="2"/>
    </row>
    <row r="557" spans="2:7" x14ac:dyDescent="0.2">
      <c r="B557" s="2"/>
      <c r="C557" s="2"/>
      <c r="E557" s="2"/>
      <c r="G557" s="2"/>
    </row>
    <row r="558" spans="2:7" x14ac:dyDescent="0.2">
      <c r="B558" s="2"/>
      <c r="C558" s="2"/>
      <c r="E558" s="2"/>
      <c r="G558" s="2"/>
    </row>
    <row r="559" spans="2:7" x14ac:dyDescent="0.2">
      <c r="B559" s="2"/>
      <c r="C559" s="2"/>
      <c r="E559" s="2"/>
      <c r="G559" s="2"/>
    </row>
    <row r="560" spans="2:7" x14ac:dyDescent="0.2">
      <c r="B560" s="2"/>
      <c r="C560" s="2"/>
      <c r="E560" s="2"/>
      <c r="G560" s="2"/>
    </row>
    <row r="561" spans="2:7" x14ac:dyDescent="0.2">
      <c r="B561" s="2"/>
      <c r="C561" s="2"/>
      <c r="E561" s="2"/>
      <c r="G561" s="2"/>
    </row>
    <row r="562" spans="2:7" x14ac:dyDescent="0.2">
      <c r="B562" s="2"/>
      <c r="C562" s="2"/>
      <c r="E562" s="2"/>
      <c r="G562" s="2"/>
    </row>
    <row r="563" spans="2:7" x14ac:dyDescent="0.2">
      <c r="B563" s="2"/>
      <c r="C563" s="2"/>
      <c r="E563" s="2"/>
      <c r="G563" s="2"/>
    </row>
    <row r="564" spans="2:7" x14ac:dyDescent="0.2">
      <c r="B564" s="2"/>
      <c r="C564" s="2"/>
      <c r="E564" s="2"/>
      <c r="G564" s="2"/>
    </row>
    <row r="565" spans="2:7" x14ac:dyDescent="0.2">
      <c r="B565" s="2"/>
      <c r="C565" s="2"/>
      <c r="E565" s="2"/>
      <c r="G565" s="2"/>
    </row>
    <row r="566" spans="2:7" x14ac:dyDescent="0.2">
      <c r="B566" s="2"/>
      <c r="C566" s="2"/>
      <c r="E566" s="2"/>
      <c r="G566" s="2"/>
    </row>
    <row r="567" spans="2:7" x14ac:dyDescent="0.2">
      <c r="B567" s="2"/>
      <c r="C567" s="2"/>
      <c r="E567" s="2"/>
      <c r="G567" s="2"/>
    </row>
    <row r="568" spans="2:7" x14ac:dyDescent="0.2">
      <c r="B568" s="2"/>
      <c r="C568" s="2"/>
      <c r="E568" s="2"/>
      <c r="G568" s="2"/>
    </row>
    <row r="569" spans="2:7" x14ac:dyDescent="0.2">
      <c r="B569" s="2"/>
      <c r="C569" s="2"/>
      <c r="E569" s="2"/>
      <c r="G569" s="2"/>
    </row>
    <row r="570" spans="2:7" x14ac:dyDescent="0.2">
      <c r="B570" s="2"/>
      <c r="C570" s="2"/>
      <c r="E570" s="2"/>
      <c r="G570" s="2"/>
    </row>
    <row r="571" spans="2:7" x14ac:dyDescent="0.2">
      <c r="B571" s="2"/>
      <c r="C571" s="2"/>
      <c r="E571" s="2"/>
      <c r="G571" s="2"/>
    </row>
    <row r="572" spans="2:7" x14ac:dyDescent="0.2">
      <c r="B572" s="2"/>
      <c r="C572" s="2"/>
      <c r="E572" s="2"/>
      <c r="G572" s="2"/>
    </row>
    <row r="573" spans="2:7" x14ac:dyDescent="0.2">
      <c r="B573" s="2"/>
      <c r="C573" s="2"/>
      <c r="E573" s="2"/>
      <c r="G573" s="2"/>
    </row>
    <row r="574" spans="2:7" x14ac:dyDescent="0.2">
      <c r="B574" s="2"/>
      <c r="C574" s="2"/>
      <c r="E574" s="2"/>
      <c r="G574" s="2"/>
    </row>
    <row r="575" spans="2:7" x14ac:dyDescent="0.2">
      <c r="B575" s="2"/>
      <c r="C575" s="2"/>
      <c r="E575" s="2"/>
      <c r="G575" s="2"/>
    </row>
    <row r="576" spans="2:7" x14ac:dyDescent="0.2">
      <c r="B576" s="2"/>
      <c r="C576" s="2"/>
      <c r="E576" s="2"/>
      <c r="G576" s="2"/>
    </row>
    <row r="577" spans="2:7" x14ac:dyDescent="0.2">
      <c r="B577" s="2"/>
      <c r="C577" s="2"/>
      <c r="E577" s="2"/>
      <c r="G577" s="2"/>
    </row>
    <row r="578" spans="2:7" x14ac:dyDescent="0.2">
      <c r="B578" s="2"/>
      <c r="C578" s="2"/>
      <c r="E578" s="2"/>
      <c r="G578" s="2"/>
    </row>
    <row r="579" spans="2:7" x14ac:dyDescent="0.2">
      <c r="B579" s="2"/>
      <c r="C579" s="2"/>
      <c r="E579" s="2"/>
      <c r="G579" s="2"/>
    </row>
    <row r="580" spans="2:7" x14ac:dyDescent="0.2">
      <c r="B580" s="2"/>
      <c r="C580" s="2"/>
      <c r="E580" s="2"/>
      <c r="G580" s="2"/>
    </row>
    <row r="581" spans="2:7" x14ac:dyDescent="0.2">
      <c r="B581" s="2"/>
      <c r="C581" s="2"/>
      <c r="E581" s="2"/>
      <c r="G581" s="2"/>
    </row>
    <row r="582" spans="2:7" x14ac:dyDescent="0.2">
      <c r="B582" s="2"/>
      <c r="C582" s="2"/>
      <c r="E582" s="2"/>
      <c r="G582" s="2"/>
    </row>
    <row r="583" spans="2:7" x14ac:dyDescent="0.2">
      <c r="B583" s="2"/>
      <c r="C583" s="2"/>
      <c r="E583" s="2"/>
      <c r="G583" s="2"/>
    </row>
    <row r="584" spans="2:7" x14ac:dyDescent="0.2">
      <c r="B584" s="2"/>
      <c r="C584" s="2"/>
      <c r="E584" s="2"/>
      <c r="G584" s="2"/>
    </row>
    <row r="585" spans="2:7" x14ac:dyDescent="0.2">
      <c r="B585" s="2"/>
      <c r="C585" s="2"/>
      <c r="E585" s="2"/>
      <c r="G585" s="2"/>
    </row>
    <row r="586" spans="2:7" x14ac:dyDescent="0.2">
      <c r="B586" s="2"/>
      <c r="C586" s="2"/>
      <c r="E586" s="2"/>
      <c r="G586" s="2"/>
    </row>
    <row r="587" spans="2:7" x14ac:dyDescent="0.2">
      <c r="B587" s="2"/>
      <c r="C587" s="2"/>
      <c r="E587" s="2"/>
      <c r="G587" s="2"/>
    </row>
    <row r="588" spans="2:7" x14ac:dyDescent="0.2">
      <c r="B588" s="2"/>
      <c r="C588" s="2"/>
      <c r="E588" s="2"/>
      <c r="G588" s="2"/>
    </row>
    <row r="589" spans="2:7" x14ac:dyDescent="0.2">
      <c r="B589" s="2"/>
      <c r="C589" s="2"/>
      <c r="E589" s="2"/>
      <c r="G589" s="2"/>
    </row>
    <row r="590" spans="2:7" x14ac:dyDescent="0.2">
      <c r="B590" s="2"/>
      <c r="C590" s="2"/>
      <c r="E590" s="2"/>
      <c r="G590" s="2"/>
    </row>
    <row r="591" spans="2:7" x14ac:dyDescent="0.2">
      <c r="B591" s="2"/>
      <c r="C591" s="2"/>
      <c r="E591" s="2"/>
      <c r="G591" s="2"/>
    </row>
    <row r="592" spans="2:7" x14ac:dyDescent="0.2">
      <c r="B592" s="2"/>
      <c r="C592" s="2"/>
      <c r="E592" s="2"/>
      <c r="G592" s="2"/>
    </row>
    <row r="593" spans="2:7" x14ac:dyDescent="0.2">
      <c r="B593" s="2"/>
      <c r="C593" s="2"/>
      <c r="E593" s="2"/>
      <c r="G593" s="2"/>
    </row>
    <row r="594" spans="2:7" x14ac:dyDescent="0.2">
      <c r="B594" s="2"/>
      <c r="C594" s="2"/>
      <c r="E594" s="2"/>
      <c r="G594" s="2"/>
    </row>
    <row r="595" spans="2:7" x14ac:dyDescent="0.2">
      <c r="B595" s="2"/>
      <c r="C595" s="2"/>
      <c r="E595" s="2"/>
      <c r="G595" s="2"/>
    </row>
    <row r="596" spans="2:7" x14ac:dyDescent="0.2">
      <c r="B596" s="2"/>
      <c r="C596" s="2"/>
      <c r="E596" s="2"/>
      <c r="G596" s="2"/>
    </row>
    <row r="597" spans="2:7" x14ac:dyDescent="0.2">
      <c r="B597" s="2"/>
      <c r="C597" s="2"/>
      <c r="E597" s="2"/>
      <c r="G597" s="2"/>
    </row>
    <row r="598" spans="2:7" x14ac:dyDescent="0.2">
      <c r="B598" s="2"/>
      <c r="C598" s="2"/>
      <c r="E598" s="2"/>
      <c r="G598" s="2"/>
    </row>
    <row r="599" spans="2:7" x14ac:dyDescent="0.2">
      <c r="B599" s="2"/>
      <c r="C599" s="2"/>
      <c r="E599" s="2"/>
      <c r="G599" s="2"/>
    </row>
    <row r="600" spans="2:7" x14ac:dyDescent="0.2">
      <c r="B600" s="2"/>
      <c r="C600" s="2"/>
      <c r="E600" s="2"/>
      <c r="G600" s="2"/>
    </row>
    <row r="601" spans="2:7" x14ac:dyDescent="0.2">
      <c r="B601" s="2"/>
      <c r="C601" s="2"/>
      <c r="E601" s="2"/>
      <c r="G601" s="2"/>
    </row>
    <row r="602" spans="2:7" x14ac:dyDescent="0.2">
      <c r="B602" s="2"/>
      <c r="C602" s="2"/>
      <c r="E602" s="2"/>
      <c r="G60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3:H20"/>
  <sheetViews>
    <sheetView workbookViewId="0">
      <selection activeCell="B3" sqref="B3"/>
    </sheetView>
  </sheetViews>
  <sheetFormatPr baseColWidth="10" defaultRowHeight="12.75" x14ac:dyDescent="0.2"/>
  <cols>
    <col min="1" max="1" width="14.85546875" bestFit="1" customWidth="1"/>
    <col min="2" max="2" width="12.5703125" bestFit="1" customWidth="1"/>
  </cols>
  <sheetData>
    <row r="3" spans="1:8" x14ac:dyDescent="0.2">
      <c r="A3" s="90" t="s">
        <v>140</v>
      </c>
      <c r="B3" s="92">
        <f>Qmax</f>
        <v>441.3195425345437</v>
      </c>
    </row>
    <row r="4" spans="1:8" x14ac:dyDescent="0.2">
      <c r="A4" s="41" t="s">
        <v>141</v>
      </c>
      <c r="B4" s="89">
        <f>IF(B3&lt;550,A14,IF(B3&lt;=750,A15,IF(B3&lt;=1000,A16,IF(Qmax&lt;=1500,A17,IF(B3&lt;=2000,A18,IF(B3&lt;=2500,A19,IF(B3&lt;=3000,A20)))))))</f>
        <v>550</v>
      </c>
      <c r="C4" s="41" t="s">
        <v>142</v>
      </c>
      <c r="D4" s="89">
        <f>+'Tool ECS'!J56</f>
        <v>550</v>
      </c>
      <c r="F4" s="41" t="s">
        <v>147</v>
      </c>
      <c r="G4" s="89">
        <f>IF(OR('Tool ECS'!D52="FWS 750",'Tool ECS'!D52="FWS 1500"),'Tool ECS'!D54,IF(D4&lt;&gt;0,D4,B4))</f>
        <v>550</v>
      </c>
      <c r="H4" s="2">
        <f>Vballonprimaire-Qmax</f>
        <v>108.6804574654563</v>
      </c>
    </row>
    <row r="5" spans="1:8" x14ac:dyDescent="0.2">
      <c r="G5" s="98" t="s">
        <v>91</v>
      </c>
      <c r="H5" s="98" t="s">
        <v>91</v>
      </c>
    </row>
    <row r="6" spans="1:8" x14ac:dyDescent="0.2">
      <c r="A6" t="s">
        <v>143</v>
      </c>
      <c r="B6" s="2">
        <f>Qmax*(Tecs-Tef)/(Tprimaire-Tef)</f>
        <v>367.76628544545309</v>
      </c>
      <c r="C6" t="s">
        <v>91</v>
      </c>
    </row>
    <row r="8" spans="1:8" x14ac:dyDescent="0.2">
      <c r="A8" t="s">
        <v>144</v>
      </c>
      <c r="B8" s="91">
        <f>(VLOOKUP(B4,A14:C20,3,FALSE)*B4*(Tecs-Tamb)/24000)</f>
        <v>1.2959375</v>
      </c>
      <c r="C8" t="s">
        <v>5</v>
      </c>
    </row>
    <row r="13" spans="1:8" x14ac:dyDescent="0.2">
      <c r="A13" s="89" t="s">
        <v>9</v>
      </c>
      <c r="B13" s="89" t="s">
        <v>131</v>
      </c>
      <c r="C13" s="89" t="s">
        <v>132</v>
      </c>
    </row>
    <row r="14" spans="1:8" x14ac:dyDescent="0.2">
      <c r="A14" s="41">
        <v>550</v>
      </c>
      <c r="B14" s="41" t="s">
        <v>133</v>
      </c>
      <c r="C14" s="41">
        <v>1.45</v>
      </c>
      <c r="D14" t="s">
        <v>146</v>
      </c>
    </row>
    <row r="15" spans="1:8" x14ac:dyDescent="0.2">
      <c r="A15" s="41">
        <v>750</v>
      </c>
      <c r="B15" s="41" t="s">
        <v>134</v>
      </c>
      <c r="C15" s="41">
        <v>1.78</v>
      </c>
    </row>
    <row r="16" spans="1:8" x14ac:dyDescent="0.2">
      <c r="A16" s="41">
        <v>1000</v>
      </c>
      <c r="B16" s="41" t="s">
        <v>135</v>
      </c>
      <c r="C16" s="41">
        <v>2.2200000000000002</v>
      </c>
    </row>
    <row r="17" spans="1:3" x14ac:dyDescent="0.2">
      <c r="A17" s="41">
        <v>1500</v>
      </c>
      <c r="B17" s="41" t="s">
        <v>136</v>
      </c>
      <c r="C17" s="41">
        <v>2.6</v>
      </c>
    </row>
    <row r="18" spans="1:3" x14ac:dyDescent="0.2">
      <c r="A18" s="41">
        <v>2000</v>
      </c>
      <c r="B18" s="41" t="s">
        <v>137</v>
      </c>
      <c r="C18" s="41">
        <v>3.31</v>
      </c>
    </row>
    <row r="19" spans="1:3" x14ac:dyDescent="0.2">
      <c r="A19" s="41">
        <v>2500</v>
      </c>
      <c r="B19" s="41" t="s">
        <v>138</v>
      </c>
      <c r="C19" s="41">
        <v>3.76</v>
      </c>
    </row>
    <row r="20" spans="1:3" x14ac:dyDescent="0.2">
      <c r="A20" s="41">
        <v>3000</v>
      </c>
      <c r="B20" s="41" t="s">
        <v>139</v>
      </c>
      <c r="C20" s="41">
        <v>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40</vt:i4>
      </vt:variant>
    </vt:vector>
  </HeadingPairs>
  <TitlesOfParts>
    <vt:vector size="55" baseType="lpstr">
      <vt:lpstr>Notice d'utilisation</vt:lpstr>
      <vt:lpstr>Tool ECS</vt:lpstr>
      <vt:lpstr>Préparateur indépendant semi in</vt:lpstr>
      <vt:lpstr>Préparateur indépendant sem ac</vt:lpstr>
      <vt:lpstr>Prep independant pour accumulat</vt:lpstr>
      <vt:lpstr>Calculs</vt:lpstr>
      <vt:lpstr>Consommation journalière</vt:lpstr>
      <vt:lpstr>Graphique Max(Prs Pri)</vt:lpstr>
      <vt:lpstr>Ballons tampons instantané</vt:lpstr>
      <vt:lpstr>Echangeurs à plaque</vt:lpstr>
      <vt:lpstr>Feuil1</vt:lpstr>
      <vt:lpstr>photo inst</vt:lpstr>
      <vt:lpstr>Formules </vt:lpstr>
      <vt:lpstr>Feuil6</vt:lpstr>
      <vt:lpstr>MAJ</vt:lpstr>
      <vt:lpstr>'Formules '!_Toc455582412</vt:lpstr>
      <vt:lpstr>'Formules '!_Toc455582413</vt:lpstr>
      <vt:lpstr>'Formules '!_Toc455582414</vt:lpstr>
      <vt:lpstr>'Formules '!_Toc455582415</vt:lpstr>
      <vt:lpstr>'Formules '!_Toc455582416</vt:lpstr>
      <vt:lpstr>'Formules '!_Toc455582417</vt:lpstr>
      <vt:lpstr>'Formules '!_Toc455582418</vt:lpstr>
      <vt:lpstr>'Formules '!_Toc455582419</vt:lpstr>
      <vt:lpstr>'Formules '!_Toc455582420</vt:lpstr>
      <vt:lpstr>'Formules '!_Toc455582421</vt:lpstr>
      <vt:lpstr>'Formules '!_Toc455582422</vt:lpstr>
      <vt:lpstr>'Formules '!_Toc455582423</vt:lpstr>
      <vt:lpstr>Camping</vt:lpstr>
      <vt:lpstr>Collectif</vt:lpstr>
      <vt:lpstr>cw</vt:lpstr>
      <vt:lpstr>EPHAD</vt:lpstr>
      <vt:lpstr>Etablissement_Sportif</vt:lpstr>
      <vt:lpstr>Hôpitaux</vt:lpstr>
      <vt:lpstr>Hôtellerie</vt:lpstr>
      <vt:lpstr>Internat</vt:lpstr>
      <vt:lpstr>N</vt:lpstr>
      <vt:lpstr>pw</vt:lpstr>
      <vt:lpstr>Qj</vt:lpstr>
      <vt:lpstr>Qmax</vt:lpstr>
      <vt:lpstr>Qph</vt:lpstr>
      <vt:lpstr>restauration</vt:lpstr>
      <vt:lpstr>S</vt:lpstr>
      <vt:lpstr>'Prep independant pour accumulat'!Solutions_ECS</vt:lpstr>
      <vt:lpstr>'Préparateur indépendant sem ac'!Solutions_ECS</vt:lpstr>
      <vt:lpstr>Solutions_ECS</vt:lpstr>
      <vt:lpstr>Solutions_Instantané</vt:lpstr>
      <vt:lpstr>Tamb</vt:lpstr>
      <vt:lpstr>Tecs</vt:lpstr>
      <vt:lpstr>Tef</vt:lpstr>
      <vt:lpstr>Tmax</vt:lpstr>
      <vt:lpstr>Tph</vt:lpstr>
      <vt:lpstr>Tprimaire</vt:lpstr>
      <vt:lpstr>usine</vt:lpstr>
      <vt:lpstr>Vballonprimaire</vt:lpstr>
      <vt:lpstr>Vdifférence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 utilisateur satisfait de Microsoft Office</dc:creator>
  <cp:lastModifiedBy>Administrateur</cp:lastModifiedBy>
  <cp:lastPrinted>2016-08-30T15:27:48Z</cp:lastPrinted>
  <dcterms:created xsi:type="dcterms:W3CDTF">2002-07-26T07:42:16Z</dcterms:created>
  <dcterms:modified xsi:type="dcterms:W3CDTF">2017-11-30T10:18:02Z</dcterms:modified>
</cp:coreProperties>
</file>