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B0F" lockStructure="1"/>
  <bookViews>
    <workbookView xWindow="0" yWindow="60" windowWidth="15195" windowHeight="9210"/>
  </bookViews>
  <sheets>
    <sheet name="Rénovation" sheetId="5" r:id="rId1"/>
    <sheet name="Neuf" sheetId="3" r:id="rId2"/>
    <sheet name="Coûts Energies" sheetId="7" r:id="rId3"/>
    <sheet name="calculs réno" sheetId="6" state="hidden" r:id="rId4"/>
    <sheet name="calculs neuf" sheetId="4" state="hidden" r:id="rId5"/>
  </sheets>
  <definedNames>
    <definedName name="Altitude" localSheetId="3">'calculs réno'!$AO$4:$AO$16</definedName>
    <definedName name="Altitude">'calculs neuf'!$AO$4:$AO$16</definedName>
    <definedName name="appoint" localSheetId="3">'calculs réno'!$B$122:$B$125</definedName>
    <definedName name="appoint">'calculs neuf'!$B$122:$B$125</definedName>
    <definedName name="cesi" localSheetId="3">'calculs réno'!$G$119:$G$120</definedName>
    <definedName name="cesi">'calculs neuf'!$G$119:$G$120</definedName>
    <definedName name="chaudiere" localSheetId="3">'calculs réno'!$E$119:$E$122</definedName>
    <definedName name="chaudiere">'calculs neuf'!$E$119:$E$122</definedName>
    <definedName name="consoecs" localSheetId="3">'calculs réno'!$G$104:$G$106</definedName>
    <definedName name="consoecs">'calculs neuf'!$G$104:$G$106</definedName>
    <definedName name="Département" localSheetId="3">'calculs réno'!$E$4:$E$99</definedName>
    <definedName name="Département">'calculs neuf'!$E$4:$E$99</definedName>
    <definedName name="ecs" localSheetId="3">'calculs réno'!#REF!</definedName>
    <definedName name="ecs">'calculs neuf'!#REF!</definedName>
    <definedName name="modele" localSheetId="3">'calculs réno'!#REF!</definedName>
    <definedName name="modele">'calculs neuf'!#REF!</definedName>
    <definedName name="pac" localSheetId="3">'calculs réno'!$G$107:$G$107</definedName>
    <definedName name="pac">'calculs neuf'!$G$107:$G$107</definedName>
    <definedName name="solaire">'calculs réno'!$R$104:$R$106</definedName>
    <definedName name="type" localSheetId="3">'calculs réno'!$B$104:$B$109</definedName>
    <definedName name="type">'calculs neuf'!$B$104:$B$107</definedName>
    <definedName name="typechaud">'calculs réno'!$B$104:$B$109</definedName>
    <definedName name="typeecs">'calculs réno'!$L$104:$L$107</definedName>
    <definedName name="typeenergie">'calculs réno'!$L$111:$L$114</definedName>
    <definedName name="_xlnm.Print_Area" localSheetId="2">'Coûts Energies'!$A$1:$J$64</definedName>
    <definedName name="_xlnm.Print_Area" localSheetId="1">Neuf!$A$1:$J$92</definedName>
    <definedName name="_xlnm.Print_Area" localSheetId="0">Rénovation!$A$1:$J$98</definedName>
  </definedNames>
  <calcPr calcId="145621"/>
</workbook>
</file>

<file path=xl/calcChain.xml><?xml version="1.0" encoding="utf-8"?>
<calcChain xmlns="http://schemas.openxmlformats.org/spreadsheetml/2006/main">
  <c r="J5" i="3" l="1"/>
  <c r="J5" i="7"/>
  <c r="G112" i="4"/>
  <c r="N118" i="6"/>
  <c r="C117" i="4"/>
  <c r="D103" i="4"/>
  <c r="D104" i="4"/>
  <c r="C116" i="4" s="1"/>
  <c r="E4" i="4"/>
  <c r="C112" i="4" s="1"/>
  <c r="AP3" i="4"/>
  <c r="I103" i="4"/>
  <c r="I104" i="4"/>
  <c r="C120" i="4" s="1"/>
  <c r="C121" i="4" s="1"/>
  <c r="N103" i="4"/>
  <c r="N104" i="4"/>
  <c r="M106" i="4"/>
  <c r="M105" i="4"/>
  <c r="M104" i="4"/>
  <c r="E127" i="4"/>
  <c r="E126" i="4"/>
  <c r="G126" i="4"/>
  <c r="E125" i="4"/>
  <c r="G125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5" i="4"/>
  <c r="E87" i="4"/>
  <c r="E88" i="4"/>
  <c r="AH99" i="4"/>
  <c r="L99" i="4"/>
  <c r="J99" i="4"/>
  <c r="K99" i="4"/>
  <c r="E99" i="4"/>
  <c r="AH98" i="4"/>
  <c r="L98" i="4"/>
  <c r="J98" i="4" s="1"/>
  <c r="K98" i="4"/>
  <c r="E98" i="4"/>
  <c r="AH97" i="4"/>
  <c r="L97" i="4"/>
  <c r="K97" i="4"/>
  <c r="J97" i="4"/>
  <c r="E97" i="4"/>
  <c r="AH96" i="4"/>
  <c r="L96" i="4"/>
  <c r="J96" i="4" s="1"/>
  <c r="K96" i="4"/>
  <c r="E96" i="4"/>
  <c r="AH95" i="4"/>
  <c r="L95" i="4"/>
  <c r="J95" i="4"/>
  <c r="K95" i="4"/>
  <c r="E95" i="4"/>
  <c r="AH94" i="4"/>
  <c r="L94" i="4"/>
  <c r="J94" i="4" s="1"/>
  <c r="K94" i="4"/>
  <c r="E94" i="4"/>
  <c r="AH93" i="4"/>
  <c r="L93" i="4"/>
  <c r="K93" i="4"/>
  <c r="J93" i="4"/>
  <c r="E93" i="4"/>
  <c r="AH92" i="4"/>
  <c r="L92" i="4"/>
  <c r="J92" i="4" s="1"/>
  <c r="K92" i="4"/>
  <c r="E92" i="4"/>
  <c r="AH91" i="4"/>
  <c r="L91" i="4"/>
  <c r="J91" i="4"/>
  <c r="K91" i="4"/>
  <c r="E91" i="4"/>
  <c r="AH90" i="4"/>
  <c r="L90" i="4"/>
  <c r="J90" i="4" s="1"/>
  <c r="K90" i="4"/>
  <c r="E90" i="4"/>
  <c r="AH89" i="4"/>
  <c r="L89" i="4"/>
  <c r="K89" i="4"/>
  <c r="J89" i="4"/>
  <c r="E89" i="4"/>
  <c r="AH88" i="4"/>
  <c r="L88" i="4"/>
  <c r="J88" i="4" s="1"/>
  <c r="K88" i="4"/>
  <c r="AH87" i="4"/>
  <c r="L87" i="4"/>
  <c r="J87" i="4" s="1"/>
  <c r="K87" i="4"/>
  <c r="AH86" i="4"/>
  <c r="L86" i="4"/>
  <c r="J86" i="4" s="1"/>
  <c r="K86" i="4"/>
  <c r="E86" i="4"/>
  <c r="AH85" i="4"/>
  <c r="L85" i="4"/>
  <c r="J85" i="4"/>
  <c r="K85" i="4"/>
  <c r="E85" i="4"/>
  <c r="AH84" i="4"/>
  <c r="L84" i="4"/>
  <c r="J84" i="4" s="1"/>
  <c r="K84" i="4"/>
  <c r="E84" i="4"/>
  <c r="AH83" i="4"/>
  <c r="L83" i="4"/>
  <c r="K83" i="4"/>
  <c r="J83" i="4"/>
  <c r="E83" i="4"/>
  <c r="AH82" i="4"/>
  <c r="L82" i="4"/>
  <c r="J82" i="4" s="1"/>
  <c r="K82" i="4"/>
  <c r="E82" i="4"/>
  <c r="AH81" i="4"/>
  <c r="L81" i="4"/>
  <c r="J81" i="4"/>
  <c r="K81" i="4"/>
  <c r="E81" i="4"/>
  <c r="AH80" i="4"/>
  <c r="L80" i="4"/>
  <c r="J80" i="4" s="1"/>
  <c r="K80" i="4"/>
  <c r="E80" i="4"/>
  <c r="AH79" i="4"/>
  <c r="L79" i="4"/>
  <c r="K79" i="4"/>
  <c r="J79" i="4"/>
  <c r="E79" i="4"/>
  <c r="AH78" i="4"/>
  <c r="L78" i="4"/>
  <c r="J78" i="4" s="1"/>
  <c r="K78" i="4"/>
  <c r="E78" i="4"/>
  <c r="AH77" i="4"/>
  <c r="L77" i="4"/>
  <c r="J77" i="4"/>
  <c r="K77" i="4"/>
  <c r="E77" i="4"/>
  <c r="AH76" i="4"/>
  <c r="L76" i="4"/>
  <c r="J76" i="4" s="1"/>
  <c r="K76" i="4"/>
  <c r="E76" i="4"/>
  <c r="AH75" i="4"/>
  <c r="L75" i="4"/>
  <c r="K75" i="4"/>
  <c r="J75" i="4"/>
  <c r="AH74" i="4"/>
  <c r="L74" i="4"/>
  <c r="K74" i="4"/>
  <c r="J74" i="4"/>
  <c r="E74" i="4"/>
  <c r="AH73" i="4"/>
  <c r="L73" i="4"/>
  <c r="J73" i="4" s="1"/>
  <c r="K73" i="4"/>
  <c r="E73" i="4"/>
  <c r="AH72" i="4"/>
  <c r="L72" i="4"/>
  <c r="J72" i="4"/>
  <c r="K72" i="4"/>
  <c r="AH71" i="4"/>
  <c r="L71" i="4"/>
  <c r="J71" i="4"/>
  <c r="K71" i="4"/>
  <c r="AH70" i="4"/>
  <c r="L70" i="4"/>
  <c r="J70" i="4"/>
  <c r="K70" i="4"/>
  <c r="AH69" i="4"/>
  <c r="L69" i="4"/>
  <c r="J69" i="4"/>
  <c r="K69" i="4"/>
  <c r="AH68" i="4"/>
  <c r="L68" i="4"/>
  <c r="J68" i="4"/>
  <c r="K68" i="4"/>
  <c r="AH67" i="4"/>
  <c r="L67" i="4"/>
  <c r="J67" i="4"/>
  <c r="K67" i="4"/>
  <c r="AH66" i="4"/>
  <c r="L66" i="4"/>
  <c r="J66" i="4"/>
  <c r="K66" i="4"/>
  <c r="AH65" i="4"/>
  <c r="L65" i="4"/>
  <c r="J65" i="4"/>
  <c r="K65" i="4"/>
  <c r="AH64" i="4"/>
  <c r="L64" i="4"/>
  <c r="J64" i="4"/>
  <c r="K64" i="4"/>
  <c r="AH63" i="4"/>
  <c r="L63" i="4"/>
  <c r="J63" i="4"/>
  <c r="K63" i="4"/>
  <c r="AH62" i="4"/>
  <c r="L62" i="4"/>
  <c r="J62" i="4"/>
  <c r="K62" i="4"/>
  <c r="AH61" i="4"/>
  <c r="L61" i="4"/>
  <c r="J61" i="4"/>
  <c r="K61" i="4"/>
  <c r="AH60" i="4"/>
  <c r="L60" i="4"/>
  <c r="J60" i="4"/>
  <c r="K60" i="4"/>
  <c r="AH59" i="4"/>
  <c r="L59" i="4"/>
  <c r="J59" i="4"/>
  <c r="K59" i="4"/>
  <c r="AH58" i="4"/>
  <c r="L58" i="4"/>
  <c r="J58" i="4"/>
  <c r="K58" i="4"/>
  <c r="AH57" i="4"/>
  <c r="L57" i="4"/>
  <c r="J57" i="4"/>
  <c r="K57" i="4"/>
  <c r="AH56" i="4"/>
  <c r="L56" i="4"/>
  <c r="J56" i="4"/>
  <c r="K56" i="4"/>
  <c r="AH55" i="4"/>
  <c r="L55" i="4"/>
  <c r="J55" i="4"/>
  <c r="K55" i="4"/>
  <c r="AH54" i="4"/>
  <c r="L54" i="4"/>
  <c r="J54" i="4"/>
  <c r="K54" i="4"/>
  <c r="AH53" i="4"/>
  <c r="L53" i="4"/>
  <c r="J53" i="4"/>
  <c r="K53" i="4"/>
  <c r="AH52" i="4"/>
  <c r="L52" i="4"/>
  <c r="J52" i="4"/>
  <c r="K52" i="4"/>
  <c r="AH51" i="4"/>
  <c r="L51" i="4"/>
  <c r="J51" i="4"/>
  <c r="K51" i="4"/>
  <c r="AH50" i="4"/>
  <c r="L50" i="4"/>
  <c r="J50" i="4"/>
  <c r="K50" i="4"/>
  <c r="AH49" i="4"/>
  <c r="L49" i="4"/>
  <c r="J49" i="4"/>
  <c r="K49" i="4"/>
  <c r="AH48" i="4"/>
  <c r="L48" i="4"/>
  <c r="J48" i="4"/>
  <c r="K48" i="4"/>
  <c r="AH47" i="4"/>
  <c r="L47" i="4"/>
  <c r="J47" i="4"/>
  <c r="K47" i="4"/>
  <c r="AH46" i="4"/>
  <c r="L46" i="4"/>
  <c r="J46" i="4"/>
  <c r="K46" i="4"/>
  <c r="AH45" i="4"/>
  <c r="L45" i="4"/>
  <c r="J45" i="4"/>
  <c r="K45" i="4"/>
  <c r="AH44" i="4"/>
  <c r="L44" i="4"/>
  <c r="J44" i="4"/>
  <c r="K44" i="4"/>
  <c r="AH43" i="4"/>
  <c r="L43" i="4"/>
  <c r="J43" i="4"/>
  <c r="K43" i="4"/>
  <c r="AH42" i="4"/>
  <c r="L42" i="4"/>
  <c r="J42" i="4"/>
  <c r="K42" i="4"/>
  <c r="AH41" i="4"/>
  <c r="L41" i="4"/>
  <c r="J41" i="4"/>
  <c r="K41" i="4"/>
  <c r="AH40" i="4"/>
  <c r="L40" i="4"/>
  <c r="J40" i="4"/>
  <c r="K40" i="4"/>
  <c r="AH39" i="4"/>
  <c r="L39" i="4"/>
  <c r="J39" i="4"/>
  <c r="K39" i="4"/>
  <c r="AH38" i="4"/>
  <c r="L38" i="4"/>
  <c r="J38" i="4"/>
  <c r="K38" i="4"/>
  <c r="AH37" i="4"/>
  <c r="L37" i="4"/>
  <c r="J37" i="4"/>
  <c r="K37" i="4"/>
  <c r="AH36" i="4"/>
  <c r="L36" i="4"/>
  <c r="J36" i="4"/>
  <c r="K36" i="4"/>
  <c r="AH35" i="4"/>
  <c r="L35" i="4"/>
  <c r="J35" i="4"/>
  <c r="K35" i="4"/>
  <c r="AH34" i="4"/>
  <c r="L34" i="4"/>
  <c r="J34" i="4"/>
  <c r="K34" i="4"/>
  <c r="AH33" i="4"/>
  <c r="L33" i="4"/>
  <c r="J33" i="4"/>
  <c r="K33" i="4"/>
  <c r="AH32" i="4"/>
  <c r="L32" i="4"/>
  <c r="J32" i="4"/>
  <c r="K32" i="4"/>
  <c r="AH31" i="4"/>
  <c r="L31" i="4"/>
  <c r="J31" i="4"/>
  <c r="K31" i="4"/>
  <c r="AH30" i="4"/>
  <c r="L30" i="4"/>
  <c r="J30" i="4"/>
  <c r="K30" i="4"/>
  <c r="AH29" i="4"/>
  <c r="L29" i="4"/>
  <c r="J29" i="4"/>
  <c r="K29" i="4"/>
  <c r="AH28" i="4"/>
  <c r="L28" i="4"/>
  <c r="J28" i="4"/>
  <c r="K28" i="4"/>
  <c r="AH27" i="4"/>
  <c r="L27" i="4"/>
  <c r="J27" i="4"/>
  <c r="K27" i="4"/>
  <c r="AH26" i="4"/>
  <c r="L26" i="4"/>
  <c r="J26" i="4"/>
  <c r="K26" i="4"/>
  <c r="AH25" i="4"/>
  <c r="L25" i="4"/>
  <c r="J25" i="4"/>
  <c r="K25" i="4"/>
  <c r="AH24" i="4"/>
  <c r="L24" i="4"/>
  <c r="J24" i="4" s="1"/>
  <c r="K24" i="4"/>
  <c r="AH23" i="4"/>
  <c r="L23" i="4"/>
  <c r="J23" i="4" s="1"/>
  <c r="K23" i="4"/>
  <c r="AH22" i="4"/>
  <c r="L22" i="4"/>
  <c r="J22" i="4" s="1"/>
  <c r="K22" i="4"/>
  <c r="AH21" i="4"/>
  <c r="L21" i="4"/>
  <c r="J21" i="4" s="1"/>
  <c r="K21" i="4"/>
  <c r="AH20" i="4"/>
  <c r="L20" i="4"/>
  <c r="J20" i="4" s="1"/>
  <c r="K20" i="4"/>
  <c r="AH19" i="4"/>
  <c r="L19" i="4"/>
  <c r="J19" i="4" s="1"/>
  <c r="K19" i="4"/>
  <c r="AH18" i="4"/>
  <c r="L18" i="4"/>
  <c r="J18" i="4" s="1"/>
  <c r="K18" i="4"/>
  <c r="AH17" i="4"/>
  <c r="L17" i="4"/>
  <c r="J17" i="4" s="1"/>
  <c r="K17" i="4"/>
  <c r="AH16" i="4"/>
  <c r="L16" i="4"/>
  <c r="J16" i="4" s="1"/>
  <c r="K16" i="4"/>
  <c r="AH15" i="4"/>
  <c r="L15" i="4"/>
  <c r="J15" i="4" s="1"/>
  <c r="K15" i="4"/>
  <c r="AH14" i="4"/>
  <c r="L14" i="4"/>
  <c r="J14" i="4" s="1"/>
  <c r="K14" i="4"/>
  <c r="AH13" i="4"/>
  <c r="L13" i="4"/>
  <c r="J13" i="4" s="1"/>
  <c r="K13" i="4"/>
  <c r="AH12" i="4"/>
  <c r="L12" i="4"/>
  <c r="J12" i="4" s="1"/>
  <c r="K12" i="4"/>
  <c r="AH11" i="4"/>
  <c r="L11" i="4"/>
  <c r="J11" i="4" s="1"/>
  <c r="K11" i="4"/>
  <c r="AH10" i="4"/>
  <c r="L10" i="4"/>
  <c r="J10" i="4" s="1"/>
  <c r="K10" i="4"/>
  <c r="AH9" i="4"/>
  <c r="L9" i="4"/>
  <c r="J9" i="4" s="1"/>
  <c r="K9" i="4"/>
  <c r="AH8" i="4"/>
  <c r="L8" i="4"/>
  <c r="J8" i="4" s="1"/>
  <c r="K8" i="4"/>
  <c r="AH7" i="4"/>
  <c r="L7" i="4"/>
  <c r="J7" i="4" s="1"/>
  <c r="K7" i="4"/>
  <c r="AH6" i="4"/>
  <c r="L6" i="4"/>
  <c r="J6" i="4" s="1"/>
  <c r="K6" i="4"/>
  <c r="AH5" i="4"/>
  <c r="L5" i="4"/>
  <c r="J5" i="4" s="1"/>
  <c r="K5" i="4"/>
  <c r="AH4" i="4"/>
  <c r="L4" i="4"/>
  <c r="J4" i="4" s="1"/>
  <c r="K4" i="4"/>
  <c r="C116" i="6"/>
  <c r="C117" i="6"/>
  <c r="E4" i="6"/>
  <c r="C112" i="6" s="1"/>
  <c r="AP3" i="6"/>
  <c r="AP4" i="6" s="1"/>
  <c r="S119" i="6"/>
  <c r="D134" i="6"/>
  <c r="I103" i="6"/>
  <c r="I104" i="6"/>
  <c r="C120" i="6" s="1"/>
  <c r="C121" i="6" s="1"/>
  <c r="N110" i="6"/>
  <c r="N111" i="6" s="1"/>
  <c r="O103" i="6"/>
  <c r="O104" i="6" s="1"/>
  <c r="O120" i="6" s="1"/>
  <c r="E103" i="6"/>
  <c r="E104" i="6" s="1"/>
  <c r="I109" i="6" s="1"/>
  <c r="P127" i="6"/>
  <c r="P126" i="6"/>
  <c r="F111" i="6"/>
  <c r="H111" i="6"/>
  <c r="F114" i="6"/>
  <c r="H114" i="6"/>
  <c r="I114" i="6" s="1"/>
  <c r="F112" i="6"/>
  <c r="H112" i="6" s="1"/>
  <c r="I112" i="6" s="1"/>
  <c r="F113" i="6"/>
  <c r="H113" i="6" s="1"/>
  <c r="T103" i="6"/>
  <c r="T104" i="6" s="1"/>
  <c r="S106" i="6"/>
  <c r="S105" i="6"/>
  <c r="S104" i="6"/>
  <c r="L4" i="6"/>
  <c r="J4" i="6"/>
  <c r="K4" i="6"/>
  <c r="AH4" i="6"/>
  <c r="E5" i="6"/>
  <c r="L5" i="6"/>
  <c r="J5" i="6" s="1"/>
  <c r="K5" i="6"/>
  <c r="AH5" i="6"/>
  <c r="E6" i="6"/>
  <c r="L6" i="6"/>
  <c r="J6" i="6"/>
  <c r="K6" i="6"/>
  <c r="AH6" i="6"/>
  <c r="E7" i="6"/>
  <c r="L7" i="6"/>
  <c r="J7" i="6" s="1"/>
  <c r="K7" i="6"/>
  <c r="AH7" i="6"/>
  <c r="E8" i="6"/>
  <c r="L8" i="6"/>
  <c r="J8" i="6"/>
  <c r="K8" i="6"/>
  <c r="AH8" i="6"/>
  <c r="E9" i="6"/>
  <c r="L9" i="6"/>
  <c r="J9" i="6" s="1"/>
  <c r="K9" i="6"/>
  <c r="AH9" i="6"/>
  <c r="E10" i="6"/>
  <c r="L10" i="6"/>
  <c r="J10" i="6"/>
  <c r="K10" i="6"/>
  <c r="AH10" i="6"/>
  <c r="E11" i="6"/>
  <c r="L11" i="6"/>
  <c r="J11" i="6" s="1"/>
  <c r="K11" i="6"/>
  <c r="AH11" i="6"/>
  <c r="E12" i="6"/>
  <c r="L12" i="6"/>
  <c r="J12" i="6"/>
  <c r="K12" i="6"/>
  <c r="AH12" i="6"/>
  <c r="E13" i="6"/>
  <c r="L13" i="6"/>
  <c r="J13" i="6" s="1"/>
  <c r="K13" i="6"/>
  <c r="AH13" i="6"/>
  <c r="E14" i="6"/>
  <c r="L14" i="6"/>
  <c r="J14" i="6"/>
  <c r="K14" i="6"/>
  <c r="AH14" i="6"/>
  <c r="E15" i="6"/>
  <c r="L15" i="6"/>
  <c r="J15" i="6" s="1"/>
  <c r="K15" i="6"/>
  <c r="AH15" i="6"/>
  <c r="E16" i="6"/>
  <c r="L16" i="6"/>
  <c r="J16" i="6"/>
  <c r="K16" i="6"/>
  <c r="AH16" i="6"/>
  <c r="E17" i="6"/>
  <c r="L17" i="6"/>
  <c r="J17" i="6" s="1"/>
  <c r="K17" i="6"/>
  <c r="AH17" i="6"/>
  <c r="E18" i="6"/>
  <c r="L18" i="6"/>
  <c r="J18" i="6"/>
  <c r="K18" i="6"/>
  <c r="AH18" i="6"/>
  <c r="E19" i="6"/>
  <c r="L19" i="6"/>
  <c r="J19" i="6" s="1"/>
  <c r="K19" i="6"/>
  <c r="AH19" i="6"/>
  <c r="E20" i="6"/>
  <c r="L20" i="6"/>
  <c r="J20" i="6"/>
  <c r="K20" i="6"/>
  <c r="AH20" i="6"/>
  <c r="E21" i="6"/>
  <c r="L21" i="6"/>
  <c r="J21" i="6" s="1"/>
  <c r="K21" i="6"/>
  <c r="AH21" i="6"/>
  <c r="E22" i="6"/>
  <c r="L22" i="6"/>
  <c r="J22" i="6"/>
  <c r="K22" i="6"/>
  <c r="AH22" i="6"/>
  <c r="E23" i="6"/>
  <c r="L23" i="6"/>
  <c r="J23" i="6" s="1"/>
  <c r="K23" i="6"/>
  <c r="AH23" i="6"/>
  <c r="E24" i="6"/>
  <c r="L24" i="6"/>
  <c r="J24" i="6"/>
  <c r="K24" i="6"/>
  <c r="AH24" i="6"/>
  <c r="E25" i="6"/>
  <c r="L25" i="6"/>
  <c r="J25" i="6" s="1"/>
  <c r="K25" i="6"/>
  <c r="AH25" i="6"/>
  <c r="E26" i="6"/>
  <c r="L26" i="6"/>
  <c r="J26" i="6"/>
  <c r="K26" i="6"/>
  <c r="AH26" i="6"/>
  <c r="E27" i="6"/>
  <c r="L27" i="6"/>
  <c r="J27" i="6" s="1"/>
  <c r="K27" i="6"/>
  <c r="AH27" i="6"/>
  <c r="E28" i="6"/>
  <c r="L28" i="6"/>
  <c r="J28" i="6"/>
  <c r="K28" i="6"/>
  <c r="AH28" i="6"/>
  <c r="E29" i="6"/>
  <c r="L29" i="6"/>
  <c r="J29" i="6" s="1"/>
  <c r="K29" i="6"/>
  <c r="AH29" i="6"/>
  <c r="E30" i="6"/>
  <c r="L30" i="6"/>
  <c r="J30" i="6"/>
  <c r="K30" i="6"/>
  <c r="AH30" i="6"/>
  <c r="E31" i="6"/>
  <c r="L31" i="6"/>
  <c r="J31" i="6" s="1"/>
  <c r="K31" i="6"/>
  <c r="AH31" i="6"/>
  <c r="E32" i="6"/>
  <c r="L32" i="6"/>
  <c r="J32" i="6"/>
  <c r="K32" i="6"/>
  <c r="AH32" i="6"/>
  <c r="E33" i="6"/>
  <c r="L33" i="6"/>
  <c r="J33" i="6" s="1"/>
  <c r="K33" i="6"/>
  <c r="AH33" i="6"/>
  <c r="E34" i="6"/>
  <c r="L34" i="6"/>
  <c r="J34" i="6"/>
  <c r="K34" i="6"/>
  <c r="AH34" i="6"/>
  <c r="E35" i="6"/>
  <c r="L35" i="6"/>
  <c r="J35" i="6" s="1"/>
  <c r="K35" i="6"/>
  <c r="AH35" i="6"/>
  <c r="E36" i="6"/>
  <c r="L36" i="6"/>
  <c r="J36" i="6"/>
  <c r="K36" i="6"/>
  <c r="AH36" i="6"/>
  <c r="E37" i="6"/>
  <c r="L37" i="6"/>
  <c r="J37" i="6" s="1"/>
  <c r="K37" i="6"/>
  <c r="AH37" i="6"/>
  <c r="E38" i="6"/>
  <c r="L38" i="6"/>
  <c r="J38" i="6"/>
  <c r="K38" i="6"/>
  <c r="AH38" i="6"/>
  <c r="E39" i="6"/>
  <c r="L39" i="6"/>
  <c r="J39" i="6" s="1"/>
  <c r="K39" i="6"/>
  <c r="AH39" i="6"/>
  <c r="E40" i="6"/>
  <c r="L40" i="6"/>
  <c r="J40" i="6"/>
  <c r="K40" i="6"/>
  <c r="AH40" i="6"/>
  <c r="E41" i="6"/>
  <c r="L41" i="6"/>
  <c r="J41" i="6" s="1"/>
  <c r="K41" i="6"/>
  <c r="AH41" i="6"/>
  <c r="E42" i="6"/>
  <c r="L42" i="6"/>
  <c r="J42" i="6"/>
  <c r="K42" i="6"/>
  <c r="AH42" i="6"/>
  <c r="E43" i="6"/>
  <c r="L43" i="6"/>
  <c r="J43" i="6" s="1"/>
  <c r="K43" i="6"/>
  <c r="AH43" i="6"/>
  <c r="E44" i="6"/>
  <c r="L44" i="6"/>
  <c r="J44" i="6"/>
  <c r="K44" i="6"/>
  <c r="AH44" i="6"/>
  <c r="E45" i="6"/>
  <c r="L45" i="6"/>
  <c r="J45" i="6" s="1"/>
  <c r="K45" i="6"/>
  <c r="AH45" i="6"/>
  <c r="E46" i="6"/>
  <c r="L46" i="6"/>
  <c r="J46" i="6"/>
  <c r="K46" i="6"/>
  <c r="AH46" i="6"/>
  <c r="E47" i="6"/>
  <c r="L47" i="6"/>
  <c r="J47" i="6" s="1"/>
  <c r="K47" i="6"/>
  <c r="AH47" i="6"/>
  <c r="E48" i="6"/>
  <c r="L48" i="6"/>
  <c r="J48" i="6"/>
  <c r="K48" i="6"/>
  <c r="AH48" i="6"/>
  <c r="E49" i="6"/>
  <c r="L49" i="6"/>
  <c r="J49" i="6" s="1"/>
  <c r="K49" i="6"/>
  <c r="AH49" i="6"/>
  <c r="E50" i="6"/>
  <c r="L50" i="6"/>
  <c r="J50" i="6"/>
  <c r="K50" i="6"/>
  <c r="AH50" i="6"/>
  <c r="E51" i="6"/>
  <c r="L51" i="6"/>
  <c r="J51" i="6" s="1"/>
  <c r="K51" i="6"/>
  <c r="AH51" i="6"/>
  <c r="E52" i="6"/>
  <c r="L52" i="6"/>
  <c r="J52" i="6"/>
  <c r="K52" i="6"/>
  <c r="AH52" i="6"/>
  <c r="E53" i="6"/>
  <c r="L53" i="6"/>
  <c r="J53" i="6" s="1"/>
  <c r="K53" i="6"/>
  <c r="AH53" i="6"/>
  <c r="E54" i="6"/>
  <c r="L54" i="6"/>
  <c r="J54" i="6"/>
  <c r="K54" i="6"/>
  <c r="AH54" i="6"/>
  <c r="E55" i="6"/>
  <c r="L55" i="6"/>
  <c r="J55" i="6" s="1"/>
  <c r="K55" i="6"/>
  <c r="AH55" i="6"/>
  <c r="E56" i="6"/>
  <c r="L56" i="6"/>
  <c r="J56" i="6"/>
  <c r="K56" i="6"/>
  <c r="AH56" i="6"/>
  <c r="E57" i="6"/>
  <c r="L57" i="6"/>
  <c r="J57" i="6" s="1"/>
  <c r="K57" i="6"/>
  <c r="AH57" i="6"/>
  <c r="E58" i="6"/>
  <c r="L58" i="6"/>
  <c r="J58" i="6"/>
  <c r="K58" i="6"/>
  <c r="AH58" i="6"/>
  <c r="E59" i="6"/>
  <c r="L59" i="6"/>
  <c r="J59" i="6" s="1"/>
  <c r="K59" i="6"/>
  <c r="AH59" i="6"/>
  <c r="E60" i="6"/>
  <c r="L60" i="6"/>
  <c r="J60" i="6"/>
  <c r="K60" i="6"/>
  <c r="AH60" i="6"/>
  <c r="E61" i="6"/>
  <c r="L61" i="6"/>
  <c r="J61" i="6" s="1"/>
  <c r="K61" i="6"/>
  <c r="AH61" i="6"/>
  <c r="E62" i="6"/>
  <c r="L62" i="6"/>
  <c r="J62" i="6"/>
  <c r="K62" i="6"/>
  <c r="AH62" i="6"/>
  <c r="E63" i="6"/>
  <c r="L63" i="6"/>
  <c r="J63" i="6" s="1"/>
  <c r="K63" i="6"/>
  <c r="AH63" i="6"/>
  <c r="E64" i="6"/>
  <c r="L64" i="6"/>
  <c r="J64" i="6"/>
  <c r="K64" i="6"/>
  <c r="AH64" i="6"/>
  <c r="E65" i="6"/>
  <c r="L65" i="6"/>
  <c r="J65" i="6" s="1"/>
  <c r="K65" i="6"/>
  <c r="AH65" i="6"/>
  <c r="E66" i="6"/>
  <c r="L66" i="6"/>
  <c r="J66" i="6"/>
  <c r="K66" i="6"/>
  <c r="AH66" i="6"/>
  <c r="E67" i="6"/>
  <c r="L67" i="6"/>
  <c r="J67" i="6" s="1"/>
  <c r="K67" i="6"/>
  <c r="AH67" i="6"/>
  <c r="E68" i="6"/>
  <c r="L68" i="6"/>
  <c r="J68" i="6"/>
  <c r="K68" i="6"/>
  <c r="AH68" i="6"/>
  <c r="E69" i="6"/>
  <c r="L69" i="6"/>
  <c r="J69" i="6" s="1"/>
  <c r="K69" i="6"/>
  <c r="AH69" i="6"/>
  <c r="E70" i="6"/>
  <c r="L70" i="6"/>
  <c r="J70" i="6"/>
  <c r="K70" i="6"/>
  <c r="AH70" i="6"/>
  <c r="E71" i="6"/>
  <c r="L71" i="6"/>
  <c r="J71" i="6" s="1"/>
  <c r="K71" i="6"/>
  <c r="AH71" i="6"/>
  <c r="E72" i="6"/>
  <c r="L72" i="6"/>
  <c r="J72" i="6"/>
  <c r="K72" i="6"/>
  <c r="AH72" i="6"/>
  <c r="E73" i="6"/>
  <c r="L73" i="6"/>
  <c r="J73" i="6" s="1"/>
  <c r="K73" i="6"/>
  <c r="AH73" i="6"/>
  <c r="E74" i="6"/>
  <c r="L74" i="6"/>
  <c r="J74" i="6"/>
  <c r="K74" i="6"/>
  <c r="AH74" i="6"/>
  <c r="E75" i="6"/>
  <c r="L75" i="6"/>
  <c r="J75" i="6" s="1"/>
  <c r="K75" i="6"/>
  <c r="AH75" i="6"/>
  <c r="E76" i="6"/>
  <c r="L76" i="6"/>
  <c r="J76" i="6"/>
  <c r="K76" i="6"/>
  <c r="AH76" i="6"/>
  <c r="E77" i="6"/>
  <c r="L77" i="6"/>
  <c r="J77" i="6" s="1"/>
  <c r="K77" i="6"/>
  <c r="AH77" i="6"/>
  <c r="E78" i="6"/>
  <c r="L78" i="6"/>
  <c r="J78" i="6"/>
  <c r="K78" i="6"/>
  <c r="AH78" i="6"/>
  <c r="E79" i="6"/>
  <c r="L79" i="6"/>
  <c r="J79" i="6" s="1"/>
  <c r="K79" i="6"/>
  <c r="AH79" i="6"/>
  <c r="E80" i="6"/>
  <c r="L80" i="6"/>
  <c r="J80" i="6"/>
  <c r="K80" i="6"/>
  <c r="AH80" i="6"/>
  <c r="E81" i="6"/>
  <c r="L81" i="6"/>
  <c r="J81" i="6" s="1"/>
  <c r="K81" i="6"/>
  <c r="AH81" i="6"/>
  <c r="E82" i="6"/>
  <c r="L82" i="6"/>
  <c r="J82" i="6"/>
  <c r="K82" i="6"/>
  <c r="AH82" i="6"/>
  <c r="E83" i="6"/>
  <c r="L83" i="6"/>
  <c r="J83" i="6" s="1"/>
  <c r="K83" i="6"/>
  <c r="AH83" i="6"/>
  <c r="E84" i="6"/>
  <c r="L84" i="6"/>
  <c r="J84" i="6"/>
  <c r="K84" i="6"/>
  <c r="AH84" i="6"/>
  <c r="E85" i="6"/>
  <c r="L85" i="6"/>
  <c r="J85" i="6" s="1"/>
  <c r="K85" i="6"/>
  <c r="AH85" i="6"/>
  <c r="E86" i="6"/>
  <c r="L86" i="6"/>
  <c r="J86" i="6"/>
  <c r="K86" i="6"/>
  <c r="AH86" i="6"/>
  <c r="E87" i="6"/>
  <c r="L87" i="6"/>
  <c r="J87" i="6" s="1"/>
  <c r="K87" i="6"/>
  <c r="AH87" i="6"/>
  <c r="E88" i="6"/>
  <c r="L88" i="6"/>
  <c r="J88" i="6"/>
  <c r="K88" i="6"/>
  <c r="AH88" i="6"/>
  <c r="E89" i="6"/>
  <c r="L89" i="6"/>
  <c r="J89" i="6" s="1"/>
  <c r="K89" i="6"/>
  <c r="AH89" i="6"/>
  <c r="E90" i="6"/>
  <c r="L90" i="6"/>
  <c r="J90" i="6"/>
  <c r="K90" i="6"/>
  <c r="AH90" i="6"/>
  <c r="E91" i="6"/>
  <c r="L91" i="6"/>
  <c r="J91" i="6" s="1"/>
  <c r="K91" i="6"/>
  <c r="AH91" i="6"/>
  <c r="E92" i="6"/>
  <c r="L92" i="6"/>
  <c r="J92" i="6"/>
  <c r="K92" i="6"/>
  <c r="AH92" i="6"/>
  <c r="E93" i="6"/>
  <c r="L93" i="6"/>
  <c r="J93" i="6" s="1"/>
  <c r="K93" i="6"/>
  <c r="AH93" i="6"/>
  <c r="E94" i="6"/>
  <c r="L94" i="6"/>
  <c r="J94" i="6"/>
  <c r="K94" i="6"/>
  <c r="AH94" i="6"/>
  <c r="E95" i="6"/>
  <c r="L95" i="6"/>
  <c r="J95" i="6" s="1"/>
  <c r="K95" i="6"/>
  <c r="AH95" i="6"/>
  <c r="E96" i="6"/>
  <c r="L96" i="6"/>
  <c r="J96" i="6"/>
  <c r="K96" i="6"/>
  <c r="AH96" i="6"/>
  <c r="E97" i="6"/>
  <c r="L97" i="6"/>
  <c r="J97" i="6" s="1"/>
  <c r="K97" i="6"/>
  <c r="AH97" i="6"/>
  <c r="E98" i="6"/>
  <c r="L98" i="6"/>
  <c r="J98" i="6"/>
  <c r="K98" i="6"/>
  <c r="AH98" i="6"/>
  <c r="E99" i="6"/>
  <c r="L99" i="6"/>
  <c r="J99" i="6" s="1"/>
  <c r="K99" i="6"/>
  <c r="AH99" i="6"/>
  <c r="E125" i="6"/>
  <c r="G125" i="6" s="1"/>
  <c r="E126" i="6"/>
  <c r="G126" i="6" s="1"/>
  <c r="E127" i="6"/>
  <c r="I7" i="3"/>
  <c r="I7" i="5"/>
  <c r="M104" i="6"/>
  <c r="I113" i="6"/>
  <c r="E136" i="6"/>
  <c r="E135" i="6"/>
  <c r="E141" i="6"/>
  <c r="K141" i="6" s="1"/>
  <c r="E133" i="4"/>
  <c r="E50" i="3" s="1"/>
  <c r="E139" i="4"/>
  <c r="K139" i="4" s="1"/>
  <c r="E132" i="4"/>
  <c r="K132" i="4" s="1"/>
  <c r="AP4" i="4"/>
  <c r="AR4" i="4" s="1"/>
  <c r="C113" i="4" s="1"/>
  <c r="AQ4" i="4"/>
  <c r="D115" i="6"/>
  <c r="C114" i="4"/>
  <c r="D112" i="4"/>
  <c r="K133" i="4"/>
  <c r="E49" i="3"/>
  <c r="G20" i="3" l="1"/>
  <c r="C118" i="4"/>
  <c r="E64" i="5"/>
  <c r="E56" i="3"/>
  <c r="E59" i="5"/>
  <c r="E134" i="6"/>
  <c r="K134" i="6" s="1"/>
  <c r="E140" i="6"/>
  <c r="K140" i="6" s="1"/>
  <c r="E133" i="6"/>
  <c r="N104" i="6"/>
  <c r="E132" i="6" s="1"/>
  <c r="N107" i="6"/>
  <c r="N106" i="6"/>
  <c r="E142" i="6"/>
  <c r="E137" i="6"/>
  <c r="C41" i="5"/>
  <c r="E58" i="5"/>
  <c r="E143" i="6"/>
  <c r="D55" i="5"/>
  <c r="M106" i="6"/>
  <c r="I111" i="6"/>
  <c r="I115" i="6" s="1"/>
  <c r="M105" i="6"/>
  <c r="C132" i="6"/>
  <c r="E118" i="6"/>
  <c r="C115" i="6"/>
  <c r="D115" i="4"/>
  <c r="C115" i="4"/>
  <c r="C119" i="4" s="1"/>
  <c r="C122" i="4" s="1"/>
  <c r="E134" i="4"/>
  <c r="E140" i="4"/>
  <c r="C35" i="3"/>
  <c r="E135" i="4"/>
  <c r="E141" i="4"/>
  <c r="E142" i="4"/>
  <c r="E136" i="4"/>
  <c r="N120" i="6"/>
  <c r="P120" i="6" s="1"/>
  <c r="D132" i="6"/>
  <c r="K135" i="6"/>
  <c r="K136" i="6"/>
  <c r="K143" i="6"/>
  <c r="AQ4" i="6"/>
  <c r="AR4" i="6" s="1"/>
  <c r="C113" i="6" s="1"/>
  <c r="C114" i="6" s="1"/>
  <c r="G20" i="5" l="1"/>
  <c r="C118" i="6"/>
  <c r="G35" i="3"/>
  <c r="G118" i="4"/>
  <c r="G114" i="4"/>
  <c r="E53" i="3"/>
  <c r="H136" i="4"/>
  <c r="H53" i="3" s="1"/>
  <c r="K136" i="4"/>
  <c r="E52" i="3"/>
  <c r="K135" i="4"/>
  <c r="K142" i="4"/>
  <c r="E59" i="3"/>
  <c r="K133" i="6"/>
  <c r="E56" i="5"/>
  <c r="K140" i="4"/>
  <c r="E57" i="3"/>
  <c r="E66" i="5"/>
  <c r="E60" i="5"/>
  <c r="K137" i="6"/>
  <c r="E63" i="5"/>
  <c r="N122" i="6"/>
  <c r="N105" i="6" s="1"/>
  <c r="N121" i="6"/>
  <c r="K141" i="4"/>
  <c r="E58" i="3"/>
  <c r="G141" i="4"/>
  <c r="G58" i="3" s="1"/>
  <c r="E51" i="3"/>
  <c r="K134" i="4"/>
  <c r="C119" i="6"/>
  <c r="H117" i="6"/>
  <c r="H118" i="6" s="1"/>
  <c r="C38" i="5" s="1"/>
  <c r="E57" i="5"/>
  <c r="F140" i="4"/>
  <c r="F141" i="4"/>
  <c r="I141" i="4" s="1"/>
  <c r="I58" i="3" s="1"/>
  <c r="F142" i="4"/>
  <c r="G142" i="4" s="1"/>
  <c r="G59" i="3" s="1"/>
  <c r="F139" i="4"/>
  <c r="E35" i="3"/>
  <c r="F135" i="4"/>
  <c r="F136" i="4"/>
  <c r="K142" i="6"/>
  <c r="E65" i="5"/>
  <c r="E55" i="5"/>
  <c r="K132" i="6"/>
  <c r="J112" i="4"/>
  <c r="D132" i="4" s="1"/>
  <c r="F132" i="4" s="1"/>
  <c r="J113" i="4"/>
  <c r="D133" i="4" s="1"/>
  <c r="F133" i="4" s="1"/>
  <c r="J114" i="4"/>
  <c r="D134" i="4" s="1"/>
  <c r="F134" i="4" s="1"/>
  <c r="E32" i="3"/>
  <c r="I142" i="4" l="1"/>
  <c r="I59" i="3" s="1"/>
  <c r="H142" i="4"/>
  <c r="H59" i="3" s="1"/>
  <c r="I134" i="4"/>
  <c r="I51" i="3" s="1"/>
  <c r="H134" i="4"/>
  <c r="H51" i="3" s="1"/>
  <c r="F50" i="3"/>
  <c r="G133" i="4"/>
  <c r="G50" i="3" s="1"/>
  <c r="I133" i="4"/>
  <c r="I50" i="3" s="1"/>
  <c r="H133" i="4"/>
  <c r="H50" i="3" s="1"/>
  <c r="L133" i="4"/>
  <c r="M133" i="4" s="1"/>
  <c r="L132" i="4"/>
  <c r="M132" i="4" s="1"/>
  <c r="F49" i="3"/>
  <c r="H132" i="4"/>
  <c r="H49" i="3" s="1"/>
  <c r="G132" i="4"/>
  <c r="G49" i="3" s="1"/>
  <c r="I132" i="4"/>
  <c r="I49" i="3" s="1"/>
  <c r="F52" i="3"/>
  <c r="L135" i="4"/>
  <c r="L140" i="4"/>
  <c r="M140" i="4" s="1"/>
  <c r="F57" i="3"/>
  <c r="F53" i="3"/>
  <c r="L136" i="4"/>
  <c r="M135" i="4"/>
  <c r="S120" i="6"/>
  <c r="D135" i="6" s="1"/>
  <c r="F135" i="6" s="1"/>
  <c r="I38" i="5"/>
  <c r="S118" i="6"/>
  <c r="D133" i="6" s="1"/>
  <c r="F133" i="6" s="1"/>
  <c r="F56" i="3"/>
  <c r="L139" i="4"/>
  <c r="M139" i="4" s="1"/>
  <c r="G139" i="4"/>
  <c r="G56" i="3" s="1"/>
  <c r="H139" i="4"/>
  <c r="H56" i="3" s="1"/>
  <c r="I139" i="4"/>
  <c r="I56" i="3" s="1"/>
  <c r="G134" i="4"/>
  <c r="G51" i="3" s="1"/>
  <c r="L142" i="4"/>
  <c r="M142" i="4" s="1"/>
  <c r="F59" i="3"/>
  <c r="F58" i="3"/>
  <c r="L141" i="4"/>
  <c r="M141" i="4" s="1"/>
  <c r="F134" i="6"/>
  <c r="M111" i="6"/>
  <c r="F132" i="6" s="1"/>
  <c r="F136" i="6"/>
  <c r="E41" i="5"/>
  <c r="F137" i="6"/>
  <c r="F141" i="6"/>
  <c r="F140" i="6"/>
  <c r="M113" i="6"/>
  <c r="M112" i="6"/>
  <c r="F143" i="6"/>
  <c r="F142" i="6"/>
  <c r="M114" i="6"/>
  <c r="C122" i="6"/>
  <c r="H141" i="4"/>
  <c r="H58" i="3" s="1"/>
  <c r="G140" i="4"/>
  <c r="G57" i="3" s="1"/>
  <c r="I135" i="4"/>
  <c r="I52" i="3" s="1"/>
  <c r="G136" i="4"/>
  <c r="G53" i="3" s="1"/>
  <c r="G120" i="4"/>
  <c r="G119" i="4"/>
  <c r="D138" i="4" s="1"/>
  <c r="H140" i="4"/>
  <c r="H57" i="3" s="1"/>
  <c r="G135" i="4"/>
  <c r="G52" i="3" s="1"/>
  <c r="M136" i="4"/>
  <c r="F51" i="3"/>
  <c r="L134" i="4"/>
  <c r="M134" i="4" s="1"/>
  <c r="I140" i="4"/>
  <c r="I57" i="3" s="1"/>
  <c r="H135" i="4"/>
  <c r="H52" i="3" s="1"/>
  <c r="I136" i="4"/>
  <c r="I53" i="3" s="1"/>
  <c r="G116" i="4"/>
  <c r="G115" i="4"/>
  <c r="D137" i="4" s="1"/>
  <c r="F58" i="5" l="1"/>
  <c r="G135" i="6"/>
  <c r="G58" i="5" s="1"/>
  <c r="L135" i="6"/>
  <c r="M135" i="6" s="1"/>
  <c r="H135" i="6"/>
  <c r="H58" i="5" s="1"/>
  <c r="I135" i="6"/>
  <c r="I58" i="5" s="1"/>
  <c r="E137" i="4"/>
  <c r="F137" i="4"/>
  <c r="F64" i="5"/>
  <c r="G141" i="6"/>
  <c r="G64" i="5" s="1"/>
  <c r="L141" i="6"/>
  <c r="M141" i="6" s="1"/>
  <c r="H141" i="6"/>
  <c r="H64" i="5" s="1"/>
  <c r="I141" i="6"/>
  <c r="I64" i="5" s="1"/>
  <c r="N128" i="6"/>
  <c r="N124" i="6"/>
  <c r="G41" i="5"/>
  <c r="F56" i="5"/>
  <c r="L133" i="6"/>
  <c r="M133" i="6" s="1"/>
  <c r="I133" i="6"/>
  <c r="I56" i="5" s="1"/>
  <c r="H133" i="6"/>
  <c r="H56" i="5" s="1"/>
  <c r="G133" i="6"/>
  <c r="G56" i="5" s="1"/>
  <c r="E138" i="4"/>
  <c r="F138" i="4"/>
  <c r="F65" i="5"/>
  <c r="L142" i="6"/>
  <c r="M142" i="6" s="1"/>
  <c r="H142" i="6"/>
  <c r="H65" i="5" s="1"/>
  <c r="G142" i="6"/>
  <c r="G65" i="5" s="1"/>
  <c r="I142" i="6"/>
  <c r="I65" i="5" s="1"/>
  <c r="F63" i="5"/>
  <c r="L140" i="6"/>
  <c r="M140" i="6" s="1"/>
  <c r="I140" i="6"/>
  <c r="I63" i="5" s="1"/>
  <c r="H140" i="6"/>
  <c r="H63" i="5" s="1"/>
  <c r="G140" i="6"/>
  <c r="G63" i="5" s="1"/>
  <c r="F59" i="5"/>
  <c r="I136" i="6"/>
  <c r="I59" i="5" s="1"/>
  <c r="G136" i="6"/>
  <c r="G59" i="5" s="1"/>
  <c r="H136" i="6"/>
  <c r="H59" i="5" s="1"/>
  <c r="L136" i="6"/>
  <c r="M136" i="6" s="1"/>
  <c r="F66" i="5"/>
  <c r="L143" i="6"/>
  <c r="M143" i="6" s="1"/>
  <c r="G143" i="6"/>
  <c r="G66" i="5" s="1"/>
  <c r="I143" i="6"/>
  <c r="I66" i="5" s="1"/>
  <c r="H143" i="6"/>
  <c r="H66" i="5" s="1"/>
  <c r="L132" i="6"/>
  <c r="M132" i="6" s="1"/>
  <c r="F55" i="5"/>
  <c r="I132" i="6"/>
  <c r="I55" i="5" s="1"/>
  <c r="H132" i="6"/>
  <c r="H55" i="5" s="1"/>
  <c r="G132" i="6"/>
  <c r="G55" i="5" s="1"/>
  <c r="F60" i="5"/>
  <c r="L137" i="6"/>
  <c r="M137" i="6" s="1"/>
  <c r="G137" i="6"/>
  <c r="G60" i="5" s="1"/>
  <c r="I137" i="6"/>
  <c r="I60" i="5" s="1"/>
  <c r="H137" i="6"/>
  <c r="H60" i="5" s="1"/>
  <c r="L134" i="6"/>
  <c r="M134" i="6" s="1"/>
  <c r="F57" i="5"/>
  <c r="H134" i="6"/>
  <c r="H57" i="5" s="1"/>
  <c r="G134" i="6"/>
  <c r="G57" i="5" s="1"/>
  <c r="I134" i="6"/>
  <c r="I57" i="5" s="1"/>
  <c r="H138" i="4" l="1"/>
  <c r="H55" i="3" s="1"/>
  <c r="I138" i="4"/>
  <c r="I55" i="3" s="1"/>
  <c r="G138" i="4"/>
  <c r="G55" i="3" s="1"/>
  <c r="E55" i="3"/>
  <c r="K138" i="4"/>
  <c r="N130" i="6"/>
  <c r="N129" i="6"/>
  <c r="D139" i="6" s="1"/>
  <c r="L137" i="4"/>
  <c r="F54" i="3"/>
  <c r="L138" i="4"/>
  <c r="F55" i="3"/>
  <c r="N126" i="6"/>
  <c r="N125" i="6"/>
  <c r="D138" i="6" s="1"/>
  <c r="H137" i="4"/>
  <c r="H54" i="3" s="1"/>
  <c r="K137" i="4"/>
  <c r="E54" i="3"/>
  <c r="I137" i="4"/>
  <c r="I54" i="3" s="1"/>
  <c r="G137" i="4"/>
  <c r="G54" i="3" s="1"/>
  <c r="M137" i="4" l="1"/>
  <c r="E139" i="6"/>
  <c r="F139" i="6"/>
  <c r="E138" i="6"/>
  <c r="F138" i="6"/>
  <c r="M138" i="4"/>
  <c r="E61" i="5" l="1"/>
  <c r="G138" i="6"/>
  <c r="G61" i="5" s="1"/>
  <c r="I138" i="6"/>
  <c r="I61" i="5" s="1"/>
  <c r="H138" i="6"/>
  <c r="H61" i="5" s="1"/>
  <c r="K138" i="6"/>
  <c r="F62" i="5"/>
  <c r="L139" i="6"/>
  <c r="I139" i="6"/>
  <c r="I62" i="5" s="1"/>
  <c r="H139" i="6"/>
  <c r="H62" i="5" s="1"/>
  <c r="G139" i="6"/>
  <c r="G62" i="5" s="1"/>
  <c r="E62" i="5"/>
  <c r="K139" i="6"/>
  <c r="L138" i="6"/>
  <c r="F61" i="5"/>
  <c r="M138" i="6" l="1"/>
  <c r="M139" i="6"/>
</calcChain>
</file>

<file path=xl/comments1.xml><?xml version="1.0" encoding="utf-8"?>
<comments xmlns="http://schemas.openxmlformats.org/spreadsheetml/2006/main">
  <authors>
    <author>HOEFLEJ</author>
  </authors>
  <commentList>
    <comment ref="F25" authorId="0">
      <text>
        <r>
          <rPr>
            <b/>
            <sz val="10"/>
            <color indexed="81"/>
            <rFont val="Arial"/>
            <family val="2"/>
          </rPr>
          <t>Ne permet que d'estimer le niveau d'isolation (U bat) de la maison</t>
        </r>
      </text>
    </comment>
    <comment ref="G29" authorId="0">
      <text>
        <r>
          <rPr>
            <b/>
            <sz val="10"/>
            <color indexed="81"/>
            <rFont val="Arial"/>
            <family val="2"/>
          </rPr>
          <t>Si uniquement ECS électrique, saisir la valeur de la case ci-dessous "Besoins annuels ECS en kWh"</t>
        </r>
      </text>
    </comment>
    <comment ref="E38" authorId="0">
      <text>
        <r>
          <rPr>
            <b/>
            <sz val="10"/>
            <color indexed="81"/>
            <rFont val="Arial"/>
            <family val="2"/>
          </rPr>
          <t xml:space="preserve">G = 2 pour une maison ancienne sans isolation
G = 1,5 pour une maison ancienne avec isolation
G = 1,1 pour une maison d'après 1990
G = 0,9 pour une maison RT2000
G = 0,8 pour une maison RT2005
G = 0,4 pour une maison RT2012
</t>
        </r>
      </text>
    </comment>
  </commentList>
</comments>
</file>

<file path=xl/comments2.xml><?xml version="1.0" encoding="utf-8"?>
<comments xmlns="http://schemas.openxmlformats.org/spreadsheetml/2006/main">
  <authors>
    <author>Marc DUPRAT</author>
  </authors>
  <commentList>
    <comment ref="AB2" authorId="0">
      <text>
        <r>
          <rPr>
            <b/>
            <sz val="8"/>
            <color indexed="81"/>
            <rFont val="Tahoma"/>
            <family val="2"/>
          </rPr>
          <t>Nombre d'heures de chauffage</t>
        </r>
      </text>
    </comment>
    <comment ref="AF2" authorId="0">
      <text>
        <r>
          <rPr>
            <b/>
            <sz val="8"/>
            <color indexed="81"/>
            <rFont val="Tahoma"/>
            <family val="2"/>
          </rPr>
          <t>Ensoleillement</t>
        </r>
      </text>
    </comment>
    <comment ref="AG2" authorId="0">
      <text>
        <r>
          <rPr>
            <b/>
            <sz val="8"/>
            <color indexed="81"/>
            <rFont val="Tahoma"/>
            <family val="2"/>
          </rPr>
          <t>Ensoleillement</t>
        </r>
      </text>
    </comment>
  </commentList>
</comments>
</file>

<file path=xl/comments3.xml><?xml version="1.0" encoding="utf-8"?>
<comments xmlns="http://schemas.openxmlformats.org/spreadsheetml/2006/main">
  <authors>
    <author>Marc DUPRAT</author>
  </authors>
  <commentList>
    <comment ref="AB2" authorId="0">
      <text>
        <r>
          <rPr>
            <b/>
            <sz val="8"/>
            <color indexed="81"/>
            <rFont val="Tahoma"/>
            <family val="2"/>
          </rPr>
          <t>Nombre d'heures de chauffage</t>
        </r>
      </text>
    </comment>
    <comment ref="AF2" authorId="0">
      <text>
        <r>
          <rPr>
            <b/>
            <sz val="8"/>
            <color indexed="81"/>
            <rFont val="Tahoma"/>
            <family val="2"/>
          </rPr>
          <t>Ensoleillement</t>
        </r>
      </text>
    </comment>
    <comment ref="AG2" authorId="0">
      <text>
        <r>
          <rPr>
            <b/>
            <sz val="8"/>
            <color indexed="81"/>
            <rFont val="Tahoma"/>
            <family val="2"/>
          </rPr>
          <t>Ensoleillement</t>
        </r>
      </text>
    </comment>
  </commentList>
</comments>
</file>

<file path=xl/sharedStrings.xml><?xml version="1.0" encoding="utf-8"?>
<sst xmlns="http://schemas.openxmlformats.org/spreadsheetml/2006/main" count="2855" uniqueCount="351">
  <si>
    <t xml:space="preserve">Identification de l'étude </t>
  </si>
  <si>
    <t xml:space="preserve"> Référence</t>
  </si>
  <si>
    <t>-</t>
  </si>
  <si>
    <t>Département de l'installation</t>
  </si>
  <si>
    <t>Altitude</t>
  </si>
  <si>
    <t>Type d'habitation</t>
  </si>
  <si>
    <t>Index</t>
  </si>
  <si>
    <t>n° départ.</t>
  </si>
  <si>
    <t>Département</t>
  </si>
  <si>
    <t>Hiver</t>
  </si>
  <si>
    <t>Eté</t>
  </si>
  <si>
    <t>N° MINI</t>
  </si>
  <si>
    <t>N° MAXI</t>
  </si>
  <si>
    <t>T° EXT mini</t>
  </si>
  <si>
    <t>Iles</t>
  </si>
  <si>
    <t>côte &lt; 25 km</t>
  </si>
  <si>
    <t>Alt. entre 0 et 200 m</t>
  </si>
  <si>
    <t>Alt. entre 201 et 400 m</t>
  </si>
  <si>
    <t>Alt. entre 401 et 500 m</t>
  </si>
  <si>
    <t>Alt. entre 501 et 600 m</t>
  </si>
  <si>
    <t>Alt. entre 601 et 700 m</t>
  </si>
  <si>
    <t>Alt. entre 701 et 800 m</t>
  </si>
  <si>
    <t>Alt. entre 801 et 900 m</t>
  </si>
  <si>
    <t>Alt. entre 901 et 1000 m</t>
  </si>
  <si>
    <t>Alt. entre 1001 et 1100 m</t>
  </si>
  <si>
    <t>Alt. entre 1101 et 1200 m</t>
  </si>
  <si>
    <t>Alt. entre 1201 et 1300 m</t>
  </si>
  <si>
    <t>Alt. entre 1301 et 1400 m</t>
  </si>
  <si>
    <t>Alt. entre 1401 et 1500 m</t>
  </si>
  <si>
    <t>Nréf (h)</t>
  </si>
  <si>
    <t>Dhréf (degrés-heures)</t>
  </si>
  <si>
    <t>Précision de la situation</t>
  </si>
  <si>
    <t>Préf 1 (W/m²)</t>
  </si>
  <si>
    <t>Préf 2 (W/m²)</t>
  </si>
  <si>
    <t>Pref moyen</t>
  </si>
  <si>
    <t>C3 (h/m)</t>
  </si>
  <si>
    <t>C4 (h/km)</t>
  </si>
  <si>
    <t>CESI</t>
  </si>
  <si>
    <t>I1</t>
  </si>
  <si>
    <t>Ain</t>
  </si>
  <si>
    <t>H1</t>
  </si>
  <si>
    <t>Ec</t>
  </si>
  <si>
    <t>I2</t>
  </si>
  <si>
    <t>Aisne</t>
  </si>
  <si>
    <t>Ea</t>
  </si>
  <si>
    <t>Allier</t>
  </si>
  <si>
    <t>Alpes de haute provence</t>
  </si>
  <si>
    <t>H2</t>
  </si>
  <si>
    <t>Ed</t>
  </si>
  <si>
    <t>I4</t>
  </si>
  <si>
    <t>Hautes-Alpes</t>
  </si>
  <si>
    <t>Ouest</t>
  </si>
  <si>
    <t>Est</t>
  </si>
  <si>
    <t>I3</t>
  </si>
  <si>
    <t>Alpes maritimes</t>
  </si>
  <si>
    <t>H3</t>
  </si>
  <si>
    <t>Ardèche</t>
  </si>
  <si>
    <t>Nord</t>
  </si>
  <si>
    <t>Sud</t>
  </si>
  <si>
    <t>Ardennes</t>
  </si>
  <si>
    <t>Eb</t>
  </si>
  <si>
    <t>Ariège</t>
  </si>
  <si>
    <t>Aube</t>
  </si>
  <si>
    <t>Aude</t>
  </si>
  <si>
    <t>&gt;30km de la mer</t>
  </si>
  <si>
    <r>
      <t>&lt;</t>
    </r>
    <r>
      <rPr>
        <sz val="10"/>
        <rFont val="Arial"/>
      </rPr>
      <t>30km de la mer</t>
    </r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</si>
  <si>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</si>
  <si>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</si>
  <si>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</si>
  <si>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</si>
  <si>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</si>
  <si>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</si>
  <si>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</si>
  <si>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</si>
  <si>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2A</t>
  </si>
  <si>
    <t>Corse-du-Sud</t>
  </si>
  <si>
    <t>2B</t>
  </si>
  <si>
    <t>Haute-Corse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</si>
  <si>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</si>
  <si>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</si>
  <si>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</si>
  <si>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</si>
  <si>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</si>
  <si>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</si>
  <si>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</si>
  <si>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Eure-et-Loire</t>
  </si>
  <si>
    <t>Finistère</t>
  </si>
  <si>
    <t>Gard</t>
  </si>
  <si>
    <t>Haute-Garonne</t>
  </si>
  <si>
    <t>Gers</t>
  </si>
  <si>
    <t>Gironde</t>
  </si>
  <si>
    <t>Hérault</t>
  </si>
  <si>
    <t>Ile-et-Vilaine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</si>
  <si>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</si>
  <si>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</si>
  <si>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</si>
  <si>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</si>
  <si>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</si>
  <si>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</si>
  <si>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</si>
  <si>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</si>
  <si>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 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</si>
  <si>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</si>
  <si>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</si>
  <si>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</si>
  <si>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</si>
  <si>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</si>
  <si>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</si>
  <si>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</si>
  <si>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</si>
  <si>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</si>
  <si>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</si>
  <si>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</si>
  <si>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</si>
  <si>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</si>
  <si>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</si>
  <si>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Oise</t>
  </si>
  <si>
    <t>Orne</t>
  </si>
  <si>
    <t>Pas-de-Calais</t>
  </si>
  <si>
    <t>Puy-de-Dôme</t>
  </si>
  <si>
    <t>Pyrénées 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</si>
  <si>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</si>
  <si>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</si>
  <si>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</si>
  <si>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</si>
  <si>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</si>
  <si>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</si>
  <si>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</si>
  <si>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</si>
  <si>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</si>
  <si>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</si>
  <si>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</si>
  <si>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</si>
  <si>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</si>
  <si>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</si>
  <si>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</si>
  <si>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</si>
  <si>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</si>
  <si>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</si>
  <si>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</si>
  <si>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</si>
  <si>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</si>
  <si>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</si>
  <si>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</si>
  <si>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</si>
  <si>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</si>
  <si>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Territoire-de-Belfort</t>
  </si>
  <si>
    <t>Essone</t>
  </si>
  <si>
    <t>Hauts-de-Seine</t>
  </si>
  <si>
    <t>Seine-Saint-Denis</t>
  </si>
  <si>
    <t>Val-de-Marne</t>
  </si>
  <si>
    <t>Val-d'Oise</t>
  </si>
  <si>
    <t>Surface de la maison en m²</t>
  </si>
  <si>
    <t>Coeff G</t>
  </si>
  <si>
    <t>Temp. Ext base</t>
  </si>
  <si>
    <t>Volume</t>
  </si>
  <si>
    <t>Déperditions</t>
  </si>
  <si>
    <t>Ligne temp</t>
  </si>
  <si>
    <t>Colonne temp</t>
  </si>
  <si>
    <t>Déperditions en kW</t>
  </si>
  <si>
    <t>Température extérieure de base en °C</t>
  </si>
  <si>
    <t>Entre 0 et 200 m</t>
  </si>
  <si>
    <t>Entre 201 et 400 m</t>
  </si>
  <si>
    <t>Entre 401 et 500 m</t>
  </si>
  <si>
    <t>Entre 501 et 600 m</t>
  </si>
  <si>
    <t>Entre 601 et 700 m</t>
  </si>
  <si>
    <t>Entre 701 et 800 m</t>
  </si>
  <si>
    <t>Entre 801 et 900 m</t>
  </si>
  <si>
    <t>Entre 901 et 1000 m</t>
  </si>
  <si>
    <t>Entre 1001 et 1100 m</t>
  </si>
  <si>
    <t>Entre 1101 et 1200 m</t>
  </si>
  <si>
    <t>Entre 1201 et 1300 m</t>
  </si>
  <si>
    <t>Entre 1301 et 1400 m</t>
  </si>
  <si>
    <t>Entre 1401 et 1500 m</t>
  </si>
  <si>
    <t>Résultats</t>
  </si>
  <si>
    <t>Nombre de personnes</t>
  </si>
  <si>
    <t>Fioul</t>
  </si>
  <si>
    <t>Gaz</t>
  </si>
  <si>
    <t>Propane</t>
  </si>
  <si>
    <t>Besoins annuels chauffage</t>
  </si>
  <si>
    <t>kWh</t>
  </si>
  <si>
    <t>Besoins annuels ECS</t>
  </si>
  <si>
    <t>djh</t>
  </si>
  <si>
    <t>Rendement</t>
  </si>
  <si>
    <t>1 - Ain</t>
  </si>
  <si>
    <t>Données géographiques</t>
  </si>
  <si>
    <t>Données de l'habitation</t>
  </si>
  <si>
    <t>Bilans de consommation énergétique d'une maison neuve</t>
  </si>
  <si>
    <t>Conforme à la RT 2000 (0,9)</t>
  </si>
  <si>
    <t>Conforme à la RT 2005 (0,8)</t>
  </si>
  <si>
    <t>Maison à excellente isolation (0,6)</t>
  </si>
  <si>
    <t>Maison bioclimatique (0,4)</t>
  </si>
  <si>
    <t>Consommation d'eau chaude</t>
  </si>
  <si>
    <t>Conso ecs</t>
  </si>
  <si>
    <t>L/j à 50°C</t>
  </si>
  <si>
    <t>Calculs besoins</t>
  </si>
  <si>
    <t>m3</t>
  </si>
  <si>
    <t>kW</t>
  </si>
  <si>
    <t>Conso ECS</t>
  </si>
  <si>
    <t>l/j</t>
  </si>
  <si>
    <t>Besoins annuels total</t>
  </si>
  <si>
    <t>Electricité : Prix de 100 kWh en € TTC</t>
  </si>
  <si>
    <t>Tarif B1</t>
  </si>
  <si>
    <t>Fioul : Prix de 100 kWh PCI en € TTC</t>
  </si>
  <si>
    <t>Bois bûche : Prix du stère en € TTC</t>
  </si>
  <si>
    <t>Bois</t>
  </si>
  <si>
    <t>Granulé bois : Prix de la tonne en € TTC</t>
  </si>
  <si>
    <t>Granulé bois</t>
  </si>
  <si>
    <t>Tout électrique</t>
  </si>
  <si>
    <t>Type d'Installation</t>
  </si>
  <si>
    <t>Bois bûches</t>
  </si>
  <si>
    <t>Bois granulés</t>
  </si>
  <si>
    <t>Gaz Condensation</t>
  </si>
  <si>
    <t>Fioul condensation</t>
  </si>
  <si>
    <t>Propane condensation</t>
  </si>
  <si>
    <t>Hauteur sous plafond en m</t>
  </si>
  <si>
    <t>Gaz : Prix de 100 kWh PCS en € TTC</t>
  </si>
  <si>
    <t>Propane : Prix de 100 kWh PCI en € TTC</t>
  </si>
  <si>
    <t>Estimatif des coûts énergétiques annuels</t>
  </si>
  <si>
    <t>Tableau correspondances énergétiques</t>
  </si>
  <si>
    <t>1 litre fioul</t>
  </si>
  <si>
    <t>kWh PCI</t>
  </si>
  <si>
    <t>kWh PCS</t>
  </si>
  <si>
    <t>kg CO2</t>
  </si>
  <si>
    <t>1 m3 gaz naturel</t>
  </si>
  <si>
    <t>1 kg propane</t>
  </si>
  <si>
    <t>1 kg Granulés</t>
  </si>
  <si>
    <t>1 Stère de bûche</t>
  </si>
  <si>
    <t>1 kWh élec</t>
  </si>
  <si>
    <t>Rendement du générateur sur PCI</t>
  </si>
  <si>
    <t>Coût total avec CESI</t>
  </si>
  <si>
    <t>Coût total avec SSC</t>
  </si>
  <si>
    <t>Coût total</t>
  </si>
  <si>
    <t>Coût chauffage</t>
  </si>
  <si>
    <t>Coût ECS</t>
  </si>
  <si>
    <t>Coût ECS
en € TTC
(HC en élec)</t>
  </si>
  <si>
    <t>Bois
bûches</t>
  </si>
  <si>
    <t>Bois
granulés</t>
  </si>
  <si>
    <t>Gaz
Condensation</t>
  </si>
  <si>
    <t>Fioul
condensation</t>
  </si>
  <si>
    <t>Propane
condensation</t>
  </si>
  <si>
    <t>Tout
électrique</t>
  </si>
  <si>
    <t>HP : Heures Pleines</t>
  </si>
  <si>
    <t>HC : Heures Creuses</t>
  </si>
  <si>
    <t>Mise à jour possible :</t>
  </si>
  <si>
    <t>Litres de fioul</t>
  </si>
  <si>
    <t>m3 de gaz naturel</t>
  </si>
  <si>
    <t>kg de propane</t>
  </si>
  <si>
    <t>kWh électrique</t>
  </si>
  <si>
    <t>Type de chaudière actuelle</t>
  </si>
  <si>
    <t>Chaudière actuelle (Rendement)</t>
  </si>
  <si>
    <t>De 40 ans (60%)</t>
  </si>
  <si>
    <t>De 30 ans (70%)</t>
  </si>
  <si>
    <t>Avec rendement</t>
  </si>
  <si>
    <t>TOTAL</t>
  </si>
  <si>
    <t>Coeff G estimé</t>
  </si>
  <si>
    <t>Installation actuelle</t>
  </si>
  <si>
    <t>ECS actuelle</t>
  </si>
  <si>
    <t>Type ECS</t>
  </si>
  <si>
    <t>Ballon électrique</t>
  </si>
  <si>
    <t>Coût</t>
  </si>
  <si>
    <t>Chauffage électrique</t>
  </si>
  <si>
    <t>Chaudière fioul</t>
  </si>
  <si>
    <t>Chaudière gaz</t>
  </si>
  <si>
    <t>Chaudière propane</t>
  </si>
  <si>
    <t>Consommation actuelle d'énergie par an (Chauffage + ECS)</t>
  </si>
  <si>
    <t>Besoins ECS en kWh</t>
  </si>
  <si>
    <t>Cout annuel</t>
  </si>
  <si>
    <t>Energie chauffage actuelle</t>
  </si>
  <si>
    <t>Energie chauffage</t>
  </si>
  <si>
    <t>De 20 ans (80%)</t>
  </si>
  <si>
    <t>Installation
actuelle</t>
  </si>
  <si>
    <t>Bilans de consommation énergétique d'une maison existante</t>
  </si>
  <si>
    <t>PAC Sol-Eau / Eau</t>
  </si>
  <si>
    <t>PAC
Air/Eau</t>
  </si>
  <si>
    <t>PAC
Sol-Eau/Eau</t>
  </si>
  <si>
    <t>107%*</t>
  </si>
  <si>
    <t>104%*</t>
  </si>
  <si>
    <t>109%*</t>
  </si>
  <si>
    <t>De 10 ans (88%)</t>
  </si>
  <si>
    <t>COP de 4*</t>
  </si>
  <si>
    <t>Coûts des énergies</t>
  </si>
  <si>
    <t>Electricité</t>
  </si>
  <si>
    <t>6 kVA</t>
  </si>
  <si>
    <t>3 kVA</t>
  </si>
  <si>
    <t>&gt; 3 kVA</t>
  </si>
  <si>
    <t>9 kVA</t>
  </si>
  <si>
    <t>12 kVA</t>
  </si>
  <si>
    <t>15 kVA</t>
  </si>
  <si>
    <t>18 kVA</t>
  </si>
  <si>
    <t>Abonnement annuel en € TTC</t>
  </si>
  <si>
    <t>24 kVA</t>
  </si>
  <si>
    <t>30 kVA</t>
  </si>
  <si>
    <t>36 kVA</t>
  </si>
  <si>
    <t>Tarif B2I</t>
  </si>
  <si>
    <t>Surcout abonnement</t>
  </si>
  <si>
    <t>Surcoût abonnement</t>
  </si>
  <si>
    <t>Coût chauffage
en € TTC
(1/3 HC - 2/3 HP)**</t>
  </si>
  <si>
    <t>Rentabilité B2I/B1</t>
  </si>
  <si>
    <t>Cout Abonnement</t>
  </si>
  <si>
    <t>Cout Energie</t>
  </si>
  <si>
    <t>Gaz BT</t>
  </si>
  <si>
    <t>€</t>
  </si>
  <si>
    <t>Abonnement GAZ</t>
  </si>
  <si>
    <t>Abonnement Elec</t>
  </si>
  <si>
    <t>Tout elec</t>
  </si>
  <si>
    <t>PAC Sol</t>
  </si>
  <si>
    <t>PAC Air</t>
  </si>
  <si>
    <t>Gaz actuel</t>
  </si>
  <si>
    <t>chauff</t>
  </si>
  <si>
    <t>ecs</t>
  </si>
  <si>
    <t>tot</t>
  </si>
  <si>
    <t>Gaz Nouveau</t>
  </si>
  <si>
    <t>Gaz Nouveau Condensation</t>
  </si>
  <si>
    <t>Abonnement actuel</t>
  </si>
  <si>
    <t>Température de confort en °C</t>
  </si>
  <si>
    <t>Nb heures</t>
  </si>
  <si>
    <t>Installation solaire</t>
  </si>
  <si>
    <t>Taux de couverture ECS en %</t>
  </si>
  <si>
    <t>Taux de couverture Chauffage en %</t>
  </si>
  <si>
    <t>*Rendements avec des émetteurs basse température  **Abonnement inclus</t>
  </si>
  <si>
    <t>Coût total avec Chauffe Eau Solaire en € TTC</t>
  </si>
  <si>
    <t>Coût total avec Solaire combiné
en € TTC</t>
  </si>
  <si>
    <t>Type d'installation solaire</t>
  </si>
  <si>
    <t>Type Solaire</t>
  </si>
  <si>
    <t>Aucune</t>
  </si>
  <si>
    <t>SSC</t>
  </si>
  <si>
    <t>Coût ECS graphique</t>
  </si>
  <si>
    <t>Coût chauffage graph</t>
  </si>
  <si>
    <t>Coût total sans Solaire
en € TTC</t>
  </si>
  <si>
    <t>Type d'installation solaire désirée</t>
  </si>
  <si>
    <t>Niveau d'isolation (U bat ou G)</t>
  </si>
  <si>
    <t>Econome (35 l/j à 55°C)</t>
  </si>
  <si>
    <t>Normale (50 l/j à 55°C)</t>
  </si>
  <si>
    <t>Confortable (70 l/j à 55°C)</t>
  </si>
  <si>
    <t>Besoins chauffage annuels en kWh</t>
  </si>
  <si>
    <t>Besoins annuels total en kWh</t>
  </si>
  <si>
    <t>T ext base à 0</t>
  </si>
  <si>
    <t>Récente (93%)</t>
  </si>
  <si>
    <t>COP de 3,5*</t>
  </si>
  <si>
    <t>PAC Air / Eau (Ap. Elec.)</t>
  </si>
  <si>
    <t>PAC Air / Eau (Ap. Fioul)</t>
  </si>
  <si>
    <t>Base de données PEGASE : http://www.industrie.gouv.fr/energie/statisti/pegase/pegase/pegase.php</t>
  </si>
  <si>
    <t>Les résultats de cette feuille de calcul sont donnés à titre indicatif. La responsabilité de Oertli ne peut en aucun cas être engagée.</t>
  </si>
  <si>
    <t>Niveau d'isolation G estimé</t>
  </si>
  <si>
    <t>Niveau d'isolation G -  Choisir l'estimé si consommations connues</t>
  </si>
  <si>
    <t>Version 01/2019</t>
  </si>
  <si>
    <t>Au 07/01/2019</t>
  </si>
  <si>
    <t>Option BASE</t>
  </si>
  <si>
    <t>Option HP/HC</t>
  </si>
  <si>
    <t>Au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</si>
</sst>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00"/>
    <numFmt numFmtId="166" formatCode="d\ mmmm\ yyyy"/>
    <numFmt numFmtId="167" formatCode="#,##0.000\ &quot;€&quot;"/>
    <numFmt numFmtId="168" formatCode="#,##0.00\ &quot;€&quot;"/>
    <numFmt numFmtId="170" formatCode="_-* #,##0.00\ [$€-1]_-;\-* #,##0.00\ [$€-1]_-;_-* &quot;-&quot;??\ [$€-1]_-"/>
    <numFmt numFmtId="171" formatCode="_-&quot;€&quot;\ * #,##0.00_-;_-&quot;€&quot;\ * #,##0.00\-;_-&quot;€&quot;\ * &quot;-&quot;??_-;_-@_-"/>
    <numFmt numFmtId="172" formatCode="_-* #,##0.00\ &quot;F&quot;_-;\-* #,##0.00\ &quot;F&quot;_-;_-* &quot;-&quot;??\ &quot;F&quot;_-;_-@_-"/>
    <numFmt numFmtId="173" formatCode="_-&quot;fl&quot;\ * #,##0_-;_-&quot;fl&quot;\ * #,##0\-;_-&quot;fl&quot;\ * &quot;-&quot;_-;_-@_-"/>
    <numFmt numFmtId="174" formatCode="_-&quot;fl&quot;\ * #,##0.00_-;_-&quot;fl&quot;\ * #,##0.00\-;_-&quot;fl&quot;\ * &quot;-&quot;??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3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b/>
      <sz val="8"/>
      <color indexed="81"/>
      <name val="Tahoma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indexed="81"/>
      <name val="Arial"/>
      <family val="2"/>
    </font>
    <font>
      <sz val="10"/>
      <color indexed="10"/>
      <name val="Arial"/>
      <family val="2"/>
    </font>
    <font>
      <b/>
      <i/>
      <sz val="13"/>
      <name val="Arial"/>
      <family val="2"/>
    </font>
    <font>
      <b/>
      <i/>
      <sz val="16"/>
      <name val="Arial"/>
      <family val="2"/>
    </font>
    <font>
      <b/>
      <i/>
      <sz val="20"/>
      <color indexed="57"/>
      <name val="Arial"/>
      <family val="2"/>
    </font>
    <font>
      <sz val="10"/>
      <color indexed="57"/>
      <name val="Arial"/>
      <family val="2"/>
    </font>
    <font>
      <b/>
      <sz val="12"/>
      <color indexed="57"/>
      <name val="Arial"/>
      <family val="2"/>
    </font>
    <font>
      <b/>
      <i/>
      <sz val="14"/>
      <color indexed="57"/>
      <name val="Arial"/>
      <family val="2"/>
    </font>
    <font>
      <b/>
      <i/>
      <sz val="12"/>
      <color indexed="57"/>
      <name val="Arial"/>
      <family val="2"/>
    </font>
    <font>
      <b/>
      <i/>
      <sz val="13"/>
      <color indexed="57"/>
      <name val="Arial"/>
      <family val="2"/>
    </font>
    <font>
      <b/>
      <i/>
      <sz val="20"/>
      <color indexed="57"/>
      <name val="Arial"/>
      <family val="2"/>
    </font>
    <font>
      <b/>
      <i/>
      <sz val="16"/>
      <color indexed="57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b/>
      <sz val="12"/>
      <color indexed="48"/>
      <name val="Arial"/>
      <family val="2"/>
    </font>
    <font>
      <sz val="12"/>
      <name val="Times New Roman"/>
      <family val="1"/>
    </font>
    <font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5" fillId="0" borderId="0"/>
    <xf numFmtId="0" fontId="8" fillId="0" borderId="0"/>
    <xf numFmtId="0" fontId="8" fillId="0" borderId="0"/>
    <xf numFmtId="17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35" fillId="0" borderId="0"/>
    <xf numFmtId="0" fontId="35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4" borderId="0" applyNumberFormat="0" applyBorder="0" applyAlignment="0" applyProtection="0"/>
    <xf numFmtId="0" fontId="4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25" borderId="1" applyNumberFormat="0" applyAlignment="0" applyProtection="0"/>
    <xf numFmtId="0" fontId="41" fillId="26" borderId="17" applyNumberFormat="0" applyAlignment="0" applyProtection="0"/>
    <xf numFmtId="0" fontId="42" fillId="0" borderId="18" applyNumberFormat="0" applyFill="0" applyAlignment="0" applyProtection="0"/>
    <xf numFmtId="0" fontId="8" fillId="27" borderId="16" applyNumberFormat="0" applyFont="0" applyAlignment="0" applyProtection="0"/>
    <xf numFmtId="0" fontId="43" fillId="0" borderId="0" applyNumberFormat="0" applyFill="0" applyBorder="0" applyAlignment="0" applyProtection="0"/>
    <xf numFmtId="0" fontId="44" fillId="12" borderId="1" applyNumberFormat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45" fillId="8" borderId="0" applyNumberFormat="0" applyBorder="0" applyAlignment="0" applyProtection="0"/>
    <xf numFmtId="172" fontId="8" fillId="0" borderId="0" applyFont="0" applyFill="0" applyBorder="0" applyAlignment="0" applyProtection="0"/>
    <xf numFmtId="0" fontId="46" fillId="28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7" fillId="25" borderId="19" applyNumberFormat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53" fillId="0" borderId="23" applyNumberFormat="0" applyFill="0" applyAlignment="0" applyProtection="0"/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8" fillId="27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Border="0"/>
    <xf numFmtId="0" fontId="56" fillId="0" borderId="0"/>
    <xf numFmtId="44" fontId="5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6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Protection="1"/>
    <xf numFmtId="0" fontId="14" fillId="0" borderId="0" xfId="0" applyFont="1" applyProtection="1"/>
    <xf numFmtId="0" fontId="8" fillId="0" borderId="0" xfId="0" applyFont="1" applyFill="1" applyProtection="1"/>
    <xf numFmtId="0" fontId="8" fillId="0" borderId="0" xfId="0" applyFont="1" applyFill="1" applyBorder="1" applyProtection="1"/>
    <xf numFmtId="0" fontId="0" fillId="0" borderId="2" xfId="0" applyFill="1" applyBorder="1" applyAlignment="1" applyProtection="1"/>
    <xf numFmtId="2" fontId="0" fillId="0" borderId="0" xfId="0" applyNumberFormat="1" applyFill="1" applyBorder="1" applyAlignment="1" applyProtection="1">
      <alignment horizontal="center"/>
    </xf>
    <xf numFmtId="0" fontId="9" fillId="0" borderId="0" xfId="0" applyFont="1" applyProtection="1"/>
    <xf numFmtId="0" fontId="12" fillId="0" borderId="0" xfId="0" applyFont="1" applyProtection="1"/>
    <xf numFmtId="0" fontId="9" fillId="0" borderId="0" xfId="0" applyFont="1" applyFill="1" applyBorder="1" applyAlignment="1" applyProtection="1">
      <alignment horizontal="right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7" fillId="0" borderId="0" xfId="0" applyFont="1" applyProtection="1"/>
    <xf numFmtId="2" fontId="0" fillId="0" borderId="0" xfId="0" applyNumberFormat="1" applyFill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 shrinkToFit="1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wrapText="1" shrinkToFit="1"/>
    </xf>
    <xf numFmtId="165" fontId="0" fillId="0" borderId="0" xfId="0" applyNumberFormat="1"/>
    <xf numFmtId="0" fontId="8" fillId="0" borderId="0" xfId="0" applyFont="1" applyFill="1" applyAlignment="1" applyProtection="1">
      <alignment horizontal="left"/>
    </xf>
    <xf numFmtId="0" fontId="17" fillId="0" borderId="0" xfId="0" applyFont="1" applyFill="1" applyProtection="1"/>
    <xf numFmtId="0" fontId="3" fillId="0" borderId="0" xfId="0" applyFont="1" applyFill="1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 wrapText="1"/>
    </xf>
    <xf numFmtId="1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2" fontId="0" fillId="0" borderId="0" xfId="0" applyNumberFormat="1"/>
    <xf numFmtId="9" fontId="5" fillId="0" borderId="0" xfId="2" applyFont="1" applyFill="1" applyBorder="1" applyAlignment="1" applyProtection="1">
      <alignment horizontal="center"/>
    </xf>
    <xf numFmtId="0" fontId="8" fillId="0" borderId="0" xfId="0" applyFont="1" applyBorder="1" applyProtection="1"/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0" fontId="6" fillId="0" borderId="0" xfId="0" applyFont="1" applyProtection="1"/>
    <xf numFmtId="3" fontId="0" fillId="0" borderId="0" xfId="0" applyNumberFormat="1"/>
    <xf numFmtId="9" fontId="5" fillId="0" borderId="0" xfId="2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/>
    <xf numFmtId="0" fontId="8" fillId="3" borderId="0" xfId="0" applyFont="1" applyFill="1" applyAlignment="1" applyProtection="1">
      <alignment horizontal="center"/>
    </xf>
    <xf numFmtId="0" fontId="0" fillId="3" borderId="0" xfId="0" applyFill="1" applyProtection="1"/>
    <xf numFmtId="168" fontId="18" fillId="3" borderId="0" xfId="0" applyNumberFormat="1" applyFont="1" applyFill="1" applyBorder="1" applyAlignment="1" applyProtection="1">
      <alignment horizontal="center"/>
    </xf>
    <xf numFmtId="1" fontId="21" fillId="0" borderId="5" xfId="0" applyNumberFormat="1" applyFont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0" fontId="4" fillId="0" borderId="0" xfId="0" applyFont="1" applyFill="1" applyProtection="1"/>
    <xf numFmtId="0" fontId="8" fillId="3" borderId="0" xfId="0" applyFont="1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9" fillId="3" borderId="0" xfId="0" applyFont="1" applyFill="1" applyProtection="1"/>
    <xf numFmtId="0" fontId="5" fillId="3" borderId="0" xfId="0" applyFont="1" applyFill="1" applyAlignment="1" applyProtection="1">
      <alignment horizontal="center"/>
    </xf>
    <xf numFmtId="0" fontId="14" fillId="3" borderId="0" xfId="0" applyFont="1" applyFill="1" applyProtection="1"/>
    <xf numFmtId="0" fontId="0" fillId="3" borderId="0" xfId="0" applyFill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167" fontId="14" fillId="3" borderId="0" xfId="0" applyNumberFormat="1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right"/>
    </xf>
    <xf numFmtId="167" fontId="18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Protection="1"/>
    <xf numFmtId="2" fontId="0" fillId="3" borderId="0" xfId="0" applyNumberFormat="1" applyFill="1" applyAlignment="1" applyProtection="1">
      <alignment horizontal="center"/>
    </xf>
    <xf numFmtId="0" fontId="10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0" fontId="14" fillId="3" borderId="0" xfId="0" applyFont="1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6" fillId="4" borderId="0" xfId="0" applyFont="1" applyFill="1" applyProtection="1"/>
    <xf numFmtId="0" fontId="9" fillId="4" borderId="0" xfId="0" applyFont="1" applyFill="1" applyProtection="1"/>
    <xf numFmtId="0" fontId="5" fillId="4" borderId="0" xfId="0" applyFont="1" applyFill="1" applyAlignment="1" applyProtection="1">
      <alignment horizontal="center"/>
    </xf>
    <xf numFmtId="0" fontId="14" fillId="4" borderId="0" xfId="0" applyFont="1" applyFill="1" applyProtection="1"/>
    <xf numFmtId="0" fontId="0" fillId="4" borderId="0" xfId="0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left"/>
      <protection locked="0"/>
    </xf>
    <xf numFmtId="0" fontId="13" fillId="4" borderId="1" xfId="0" applyFont="1" applyFill="1" applyBorder="1" applyAlignment="1" applyProtection="1">
      <alignment horizontal="left"/>
    </xf>
    <xf numFmtId="2" fontId="13" fillId="4" borderId="1" xfId="0" applyNumberFormat="1" applyFont="1" applyFill="1" applyBorder="1" applyAlignment="1" applyProtection="1">
      <alignment horizontal="left"/>
    </xf>
    <xf numFmtId="0" fontId="9" fillId="5" borderId="1" xfId="0" applyNumberFormat="1" applyFont="1" applyFill="1" applyBorder="1" applyAlignment="1" applyProtection="1">
      <alignment horizontal="left"/>
      <protection locked="0"/>
    </xf>
    <xf numFmtId="3" fontId="9" fillId="5" borderId="6" xfId="0" applyNumberFormat="1" applyFont="1" applyFill="1" applyBorder="1" applyAlignment="1" applyProtection="1">
      <alignment horizontal="center"/>
      <protection locked="0"/>
    </xf>
    <xf numFmtId="3" fontId="9" fillId="5" borderId="7" xfId="0" applyNumberFormat="1" applyFont="1" applyFill="1" applyBorder="1" applyAlignment="1" applyProtection="1">
      <alignment horizontal="center"/>
      <protection locked="0"/>
    </xf>
    <xf numFmtId="3" fontId="9" fillId="5" borderId="8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vertical="center" wrapText="1"/>
    </xf>
    <xf numFmtId="9" fontId="9" fillId="0" borderId="1" xfId="2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Border="1" applyProtection="1"/>
    <xf numFmtId="9" fontId="14" fillId="0" borderId="1" xfId="2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27" fillId="0" borderId="0" xfId="0" applyFont="1" applyProtection="1"/>
    <xf numFmtId="0" fontId="27" fillId="3" borderId="0" xfId="0" applyFont="1" applyFill="1" applyProtection="1"/>
    <xf numFmtId="0" fontId="28" fillId="0" borderId="0" xfId="0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29" fillId="3" borderId="0" xfId="0" applyFont="1" applyFill="1" applyAlignment="1" applyProtection="1">
      <alignment horizontal="left" vertical="center"/>
    </xf>
    <xf numFmtId="0" fontId="25" fillId="3" borderId="0" xfId="0" applyFont="1" applyFill="1" applyAlignment="1" applyProtection="1">
      <alignment horizontal="center"/>
    </xf>
    <xf numFmtId="0" fontId="31" fillId="3" borderId="0" xfId="0" applyFont="1" applyFill="1" applyAlignment="1" applyProtection="1">
      <alignment horizontal="center"/>
    </xf>
    <xf numFmtId="0" fontId="25" fillId="3" borderId="0" xfId="0" applyFont="1" applyFill="1" applyBorder="1" applyProtection="1"/>
    <xf numFmtId="0" fontId="25" fillId="3" borderId="0" xfId="0" applyFont="1" applyFill="1" applyBorder="1" applyAlignment="1" applyProtection="1">
      <alignment horizontal="center"/>
    </xf>
    <xf numFmtId="0" fontId="32" fillId="4" borderId="1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Protection="1"/>
    <xf numFmtId="0" fontId="26" fillId="4" borderId="1" xfId="0" applyFont="1" applyFill="1" applyBorder="1" applyAlignment="1" applyProtection="1">
      <alignment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2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23" fillId="3" borderId="0" xfId="0" applyFont="1" applyFill="1" applyAlignment="1" applyProtection="1">
      <alignment horizontal="center"/>
    </xf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right" vertical="center"/>
    </xf>
    <xf numFmtId="0" fontId="14" fillId="5" borderId="9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 applyProtection="1">
      <protection locked="0"/>
    </xf>
    <xf numFmtId="0" fontId="14" fillId="5" borderId="11" xfId="0" applyFont="1" applyFill="1" applyBorder="1" applyAlignment="1" applyProtection="1">
      <protection locked="0"/>
    </xf>
    <xf numFmtId="166" fontId="9" fillId="0" borderId="0" xfId="0" applyNumberFormat="1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30" fillId="3" borderId="0" xfId="0" applyFont="1" applyFill="1" applyAlignment="1" applyProtection="1">
      <alignment horizontal="right" vertical="center"/>
    </xf>
    <xf numFmtId="0" fontId="14" fillId="5" borderId="12" xfId="0" applyFont="1" applyFill="1" applyBorder="1" applyAlignment="1" applyProtection="1">
      <alignment horizontal="left"/>
      <protection locked="0"/>
    </xf>
    <xf numFmtId="0" fontId="14" fillId="5" borderId="13" xfId="0" applyFont="1" applyFill="1" applyBorder="1" applyAlignment="1" applyProtection="1">
      <alignment horizontal="left"/>
      <protection locked="0"/>
    </xf>
    <xf numFmtId="0" fontId="14" fillId="5" borderId="14" xfId="0" applyFont="1" applyFill="1" applyBorder="1" applyAlignment="1" applyProtection="1">
      <alignment horizontal="left"/>
      <protection locked="0"/>
    </xf>
    <xf numFmtId="0" fontId="9" fillId="5" borderId="9" xfId="0" applyFont="1" applyFill="1" applyBorder="1" applyAlignment="1" applyProtection="1">
      <alignment horizontal="left"/>
      <protection locked="0"/>
    </xf>
    <xf numFmtId="0" fontId="9" fillId="5" borderId="11" xfId="0" applyFont="1" applyFill="1" applyBorder="1" applyAlignment="1" applyProtection="1">
      <alignment horizontal="left"/>
      <protection locked="0"/>
    </xf>
    <xf numFmtId="0" fontId="0" fillId="3" borderId="0" xfId="0" applyFill="1"/>
    <xf numFmtId="0" fontId="30" fillId="3" borderId="0" xfId="0" applyFont="1" applyFill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17" fontId="8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14" fontId="8" fillId="3" borderId="0" xfId="0" applyNumberFormat="1" applyFont="1" applyFill="1" applyBorder="1" applyAlignment="1" applyProtection="1">
      <alignment horizontal="right"/>
    </xf>
    <xf numFmtId="0" fontId="8" fillId="3" borderId="0" xfId="3" applyFill="1" applyProtection="1"/>
    <xf numFmtId="0" fontId="8" fillId="3" borderId="0" xfId="3" applyFont="1" applyFill="1" applyProtection="1"/>
    <xf numFmtId="0" fontId="5" fillId="3" borderId="0" xfId="3" applyFont="1" applyFill="1" applyAlignment="1" applyProtection="1">
      <alignment horizontal="center"/>
    </xf>
    <xf numFmtId="0" fontId="8" fillId="3" borderId="0" xfId="3" applyFill="1" applyAlignment="1" applyProtection="1">
      <alignment horizontal="center"/>
    </xf>
    <xf numFmtId="0" fontId="9" fillId="3" borderId="0" xfId="3" applyFont="1" applyFill="1" applyAlignment="1" applyProtection="1">
      <alignment horizontal="right"/>
    </xf>
    <xf numFmtId="0" fontId="17" fillId="3" borderId="0" xfId="3" applyFont="1" applyFill="1" applyProtection="1"/>
    <xf numFmtId="168" fontId="34" fillId="6" borderId="15" xfId="3" applyNumberFormat="1" applyFont="1" applyFill="1" applyBorder="1" applyAlignment="1" applyProtection="1">
      <alignment horizontal="center"/>
      <protection locked="0"/>
    </xf>
    <xf numFmtId="168" fontId="34" fillId="6" borderId="16" xfId="3" applyNumberFormat="1" applyFont="1" applyFill="1" applyBorder="1" applyAlignment="1" applyProtection="1">
      <alignment horizontal="center"/>
      <protection locked="0"/>
    </xf>
    <xf numFmtId="168" fontId="34" fillId="6" borderId="15" xfId="115" applyNumberFormat="1" applyFont="1" applyFill="1" applyBorder="1" applyAlignment="1" applyProtection="1">
      <alignment horizontal="center"/>
      <protection locked="0"/>
    </xf>
    <xf numFmtId="7" fontId="34" fillId="6" borderId="15" xfId="8" applyNumberFormat="1" applyFont="1" applyFill="1" applyBorder="1" applyAlignment="1" applyProtection="1">
      <alignment horizontal="center"/>
      <protection locked="0"/>
    </xf>
    <xf numFmtId="0" fontId="8" fillId="3" borderId="0" xfId="3" applyFont="1" applyFill="1" applyAlignment="1" applyProtection="1">
      <alignment horizontal="left"/>
    </xf>
    <xf numFmtId="168" fontId="14" fillId="3" borderId="0" xfId="7" applyNumberFormat="1" applyFont="1" applyFill="1" applyAlignment="1" applyProtection="1">
      <alignment horizontal="center"/>
    </xf>
    <xf numFmtId="0" fontId="8" fillId="3" borderId="0" xfId="7" applyFill="1" applyAlignment="1" applyProtection="1">
      <alignment horizontal="center"/>
    </xf>
    <xf numFmtId="0" fontId="8" fillId="3" borderId="0" xfId="7" applyFill="1" applyProtection="1"/>
    <xf numFmtId="168" fontId="14" fillId="3" borderId="0" xfId="3" applyNumberFormat="1" applyFont="1" applyFill="1" applyAlignment="1" applyProtection="1">
      <alignment horizontal="center"/>
    </xf>
    <xf numFmtId="168" fontId="14" fillId="3" borderId="0" xfId="115" applyNumberFormat="1" applyFont="1" applyFill="1" applyBorder="1" applyAlignment="1" applyProtection="1">
      <alignment horizontal="center"/>
    </xf>
    <xf numFmtId="168" fontId="14" fillId="3" borderId="0" xfId="115" applyNumberFormat="1" applyFont="1" applyFill="1" applyAlignment="1" applyProtection="1">
      <alignment horizontal="center"/>
    </xf>
    <xf numFmtId="7" fontId="14" fillId="3" borderId="0" xfId="8" applyNumberFormat="1" applyFont="1" applyFill="1" applyAlignment="1" applyProtection="1">
      <alignment horizontal="center"/>
    </xf>
    <xf numFmtId="0" fontId="8" fillId="3" borderId="0" xfId="3" applyFont="1" applyFill="1" applyAlignment="1" applyProtection="1">
      <alignment horizontal="center" vertical="center"/>
    </xf>
    <xf numFmtId="0" fontId="11" fillId="3" borderId="0" xfId="115" applyFont="1" applyFill="1" applyAlignment="1" applyProtection="1">
      <alignment horizontal="center"/>
    </xf>
    <xf numFmtId="0" fontId="17" fillId="3" borderId="0" xfId="115" applyFont="1" applyFill="1" applyAlignment="1" applyProtection="1">
      <alignment horizontal="center"/>
    </xf>
    <xf numFmtId="0" fontId="8" fillId="3" borderId="0" xfId="115" applyFont="1" applyFill="1" applyAlignment="1" applyProtection="1">
      <alignment horizontal="left"/>
    </xf>
    <xf numFmtId="0" fontId="5" fillId="3" borderId="0" xfId="115" applyFont="1" applyFill="1" applyAlignment="1" applyProtection="1">
      <alignment horizontal="center"/>
    </xf>
    <xf numFmtId="0" fontId="8" fillId="3" borderId="0" xfId="115" applyFill="1" applyAlignment="1" applyProtection="1">
      <alignment horizontal="center"/>
    </xf>
    <xf numFmtId="0" fontId="9" fillId="3" borderId="0" xfId="115" applyFont="1" applyFill="1" applyAlignment="1" applyProtection="1">
      <alignment horizontal="right"/>
    </xf>
    <xf numFmtId="0" fontId="17" fillId="3" borderId="0" xfId="115" applyFont="1" applyFill="1" applyProtection="1"/>
    <xf numFmtId="168" fontId="34" fillId="6" borderId="15" xfId="115" applyNumberFormat="1" applyFont="1" applyFill="1" applyBorder="1" applyAlignment="1" applyProtection="1">
      <alignment horizontal="center"/>
      <protection locked="0"/>
    </xf>
    <xf numFmtId="168" fontId="14" fillId="3" borderId="0" xfId="115" applyNumberFormat="1" applyFont="1" applyFill="1" applyAlignment="1" applyProtection="1">
      <alignment horizontal="center"/>
    </xf>
    <xf numFmtId="0" fontId="8" fillId="3" borderId="0" xfId="115" applyFont="1" applyFill="1" applyAlignment="1" applyProtection="1">
      <alignment horizontal="center" vertical="center"/>
    </xf>
    <xf numFmtId="0" fontId="9" fillId="3" borderId="0" xfId="115" applyFont="1" applyFill="1" applyAlignment="1" applyProtection="1">
      <alignment horizontal="right"/>
    </xf>
    <xf numFmtId="168" fontId="14" fillId="3" borderId="0" xfId="115" applyNumberFormat="1" applyFont="1" applyFill="1" applyBorder="1" applyAlignment="1" applyProtection="1">
      <alignment horizontal="center"/>
    </xf>
    <xf numFmtId="168" fontId="34" fillId="6" borderId="16" xfId="115" applyNumberFormat="1" applyFont="1" applyFill="1" applyBorder="1" applyAlignment="1" applyProtection="1">
      <alignment horizontal="center"/>
      <protection locked="0"/>
    </xf>
    <xf numFmtId="0" fontId="8" fillId="3" borderId="0" xfId="115" applyFont="1" applyFill="1" applyAlignment="1" applyProtection="1">
      <alignment horizontal="center" vertical="center"/>
    </xf>
    <xf numFmtId="0" fontId="8" fillId="3" borderId="0" xfId="115" applyFill="1" applyAlignment="1" applyProtection="1">
      <alignment horizontal="center"/>
    </xf>
    <xf numFmtId="0" fontId="9" fillId="3" borderId="0" xfId="115" applyFont="1" applyFill="1" applyAlignment="1" applyProtection="1">
      <alignment horizontal="right"/>
    </xf>
    <xf numFmtId="168" fontId="14" fillId="3" borderId="0" xfId="115" applyNumberFormat="1" applyFont="1" applyFill="1" applyBorder="1" applyAlignment="1" applyProtection="1">
      <alignment horizontal="center"/>
    </xf>
    <xf numFmtId="0" fontId="17" fillId="3" borderId="0" xfId="115" applyFont="1" applyFill="1" applyProtection="1"/>
    <xf numFmtId="168" fontId="34" fillId="6" borderId="16" xfId="115" applyNumberFormat="1" applyFont="1" applyFill="1" applyBorder="1" applyAlignment="1" applyProtection="1">
      <alignment horizontal="center"/>
      <protection locked="0"/>
    </xf>
    <xf numFmtId="0" fontId="8" fillId="3" borderId="0" xfId="115" applyFont="1" applyFill="1" applyAlignment="1" applyProtection="1">
      <alignment horizontal="center" vertical="center"/>
    </xf>
    <xf numFmtId="0" fontId="5" fillId="3" borderId="0" xfId="115" applyFont="1" applyFill="1" applyAlignment="1" applyProtection="1">
      <alignment horizontal="center"/>
    </xf>
    <xf numFmtId="0" fontId="9" fillId="3" borderId="0" xfId="115" applyFont="1" applyFill="1" applyAlignment="1" applyProtection="1">
      <alignment horizontal="right"/>
    </xf>
    <xf numFmtId="0" fontId="8" fillId="3" borderId="0" xfId="115" applyFont="1" applyFill="1" applyAlignment="1" applyProtection="1">
      <alignment horizontal="center"/>
    </xf>
    <xf numFmtId="168" fontId="14" fillId="3" borderId="0" xfId="115" applyNumberFormat="1" applyFont="1" applyFill="1" applyBorder="1" applyAlignment="1" applyProtection="1">
      <alignment horizontal="center"/>
    </xf>
    <xf numFmtId="168" fontId="34" fillId="6" borderId="15" xfId="115" applyNumberFormat="1" applyFont="1" applyFill="1" applyBorder="1" applyAlignment="1" applyProtection="1">
      <alignment horizontal="center"/>
      <protection locked="0"/>
    </xf>
  </cellXfs>
  <cellStyles count="1258">
    <cellStyle name="]_x000d__x000a_Zoomed=1_x000d__x000a_Row=0_x000d__x000a_Column=0_x000d__x000a_Height=0_x000d__x000a_Width=0_x000d__x000a_FontName=FoxFont_x000d__x000a_FontStyle=0_x000d__x000a_FontSize=9_x000d__x000a_PrtFontName=FoxPrin" xfId="10"/>
    <cellStyle name="]_x000d__x000a_Zoomed=1_x000d__x000a_Row=0_x000d__x000a_Column=0_x000d__x000a_Height=0_x000d__x000a_Width=0_x000d__x000a_FontName=FoxFont_x000d__x000a_FontStyle=0_x000d__x000a_FontSize=9_x000d__x000a_PrtFontName=FoxPrin 2" xfId="22"/>
    <cellStyle name="]_x000d__x000a_Zoomed=1_x000d__x000a_Row=0_x000d__x000a_Column=0_x000d__x000a_Height=0_x000d__x000a_Width=0_x000d__x000a_FontName=FoxFont_x000d__x000a_FontStyle=0_x000d__x000a_FontSize=9_x000d__x000a_PrtFontName=FoxPrin 3" xfId="23"/>
    <cellStyle name="]_x000d__x000d_Zoomed=1_x000d__x000d_Row=0_x000d__x000d_Column=0_x000d__x000d_Height=0_x000d__x000d_Width=0_x000d__x000d_FontName=FoxFont_x000d__x000d_FontStyle=0_x000d__x000d_FontSize=9_x000d__x000d_PrtFontName=FoxPrin" xfId="35"/>
    <cellStyle name="]_x000d__x000d_Zoomed=1_x000d__x000d_Row=0_x000d__x000d_Column=0_x000d__x000d_Height=0_x000d__x000d_Width=0_x000d__x000d_FontName=FoxFont_x000d__x000d_FontStyle=0_x000d__x000d_FontSize=9_x000d__x000d_PrtFontName=FoxPrin 2" xfId="36"/>
    <cellStyle name="]_x000d__x000d_Zoomed=1_x000d__x000d_Row=0_x000d__x000d_Column=0_x000d__x000d_Height=0_x000d__x000d_Width=0_x000d__x000d_FontName=FoxFont_x000d__x000d_FontStyle=0_x000d__x000d_FontSize=9_x000d__x000d_PrtFontName=FoxPrin 3" xfId="37"/>
    <cellStyle name="20 % - Accent1 2" xfId="76"/>
    <cellStyle name="20 % - Accent2 2" xfId="77"/>
    <cellStyle name="20 % - Accent3 2" xfId="78"/>
    <cellStyle name="20 % - Accent4 2" xfId="79"/>
    <cellStyle name="20 % - Accent5 2" xfId="80"/>
    <cellStyle name="20 % - Accent6 2" xfId="81"/>
    <cellStyle name="40 % - Accent1 2" xfId="82"/>
    <cellStyle name="40 % - Accent2 2" xfId="83"/>
    <cellStyle name="40 % - Accent3 2" xfId="84"/>
    <cellStyle name="40 % - Accent4 2" xfId="85"/>
    <cellStyle name="40 % - Accent5 2" xfId="86"/>
    <cellStyle name="40 % - Accent6 2" xfId="87"/>
    <cellStyle name="60 % - Accent1 2" xfId="88"/>
    <cellStyle name="60 % - Accent2 2" xfId="89"/>
    <cellStyle name="60 % - Accent3 2" xfId="90"/>
    <cellStyle name="60 % - Accent4 2" xfId="91"/>
    <cellStyle name="60 % - Accent5 2" xfId="92"/>
    <cellStyle name="60 % - Accent6 2" xfId="93"/>
    <cellStyle name="Accent1 2" xfId="94"/>
    <cellStyle name="Accent2 2" xfId="95"/>
    <cellStyle name="Accent3 2" xfId="96"/>
    <cellStyle name="Accent4 2" xfId="97"/>
    <cellStyle name="Accent5 2" xfId="98"/>
    <cellStyle name="Accent6 2" xfId="99"/>
    <cellStyle name="Avertissement 2" xfId="100"/>
    <cellStyle name="Buena" xfId="101"/>
    <cellStyle name="Calcul 2" xfId="102"/>
    <cellStyle name="Celda de comprobación" xfId="103"/>
    <cellStyle name="Celda vinculada" xfId="104"/>
    <cellStyle name="Commentaire 2" xfId="105"/>
    <cellStyle name="Commentaire 2 2" xfId="247"/>
    <cellStyle name="Encabezado 4" xfId="106"/>
    <cellStyle name="Entrada" xfId="107"/>
    <cellStyle name="Euro" xfId="1"/>
    <cellStyle name="Euro 2" xfId="8"/>
    <cellStyle name="Euro 2 2" xfId="24"/>
    <cellStyle name="Euro 2 2 2" xfId="109"/>
    <cellStyle name="Euro 2 3" xfId="13"/>
    <cellStyle name="Euro 2 3 2" xfId="110"/>
    <cellStyle name="Euro 2 4" xfId="108"/>
    <cellStyle name="Euro 2 5" xfId="62"/>
    <cellStyle name="Euro 3" xfId="14"/>
    <cellStyle name="Euro 3 2" xfId="111"/>
    <cellStyle name="Euro 4" xfId="1138"/>
    <cellStyle name="Euro 5" xfId="4"/>
    <cellStyle name="Incorrecto" xfId="112"/>
    <cellStyle name="Lien hypertexte 2" xfId="396"/>
    <cellStyle name="Milliers 2" xfId="21"/>
    <cellStyle name="Milliers 2 2" xfId="404"/>
    <cellStyle name="Milliers 3" xfId="17"/>
    <cellStyle name="Milliers 4" xfId="405"/>
    <cellStyle name="Milliers 4 2" xfId="1157"/>
    <cellStyle name="Milliers 5" xfId="65"/>
    <cellStyle name="Monétaire 2" xfId="60"/>
    <cellStyle name="Monétaire 2 2" xfId="403"/>
    <cellStyle name="Monétaire 2 2 2" xfId="406"/>
    <cellStyle name="Monétaire 2 2 3" xfId="1139"/>
    <cellStyle name="Monétaire 2 2 4" xfId="1161"/>
    <cellStyle name="Monétaire 2 2 5" xfId="769"/>
    <cellStyle name="Monétaire 2 3" xfId="113"/>
    <cellStyle name="Monétaire 3" xfId="400"/>
    <cellStyle name="Monétaire 3 2" xfId="1155"/>
    <cellStyle name="Monétaire 4" xfId="397"/>
    <cellStyle name="Monétaire 4 2" xfId="1159"/>
    <cellStyle name="Monétaire 4 3" xfId="766"/>
    <cellStyle name="Monétaire 5" xfId="407"/>
    <cellStyle name="Neutral" xfId="114"/>
    <cellStyle name="Normal" xfId="0" builtinId="0"/>
    <cellStyle name="Normal 10" xfId="115"/>
    <cellStyle name="Normal 11" xfId="75"/>
    <cellStyle name="Normal 11 2" xfId="211"/>
    <cellStyle name="Normal 11 2 2" xfId="348"/>
    <cellStyle name="Normal 11 2 2 2" xfId="1078"/>
    <cellStyle name="Normal 11 2 2 3" xfId="718"/>
    <cellStyle name="Normal 11 2 3" xfId="408"/>
    <cellStyle name="Normal 11 2 3 2" xfId="1169"/>
    <cellStyle name="Normal 11 2 3 3" xfId="770"/>
    <cellStyle name="Normal 11 2 4" xfId="947"/>
    <cellStyle name="Normal 11 2 5" xfId="587"/>
    <cellStyle name="Normal 11 3" xfId="274"/>
    <cellStyle name="Normal 11 3 2" xfId="1004"/>
    <cellStyle name="Normal 11 3 3" xfId="644"/>
    <cellStyle name="Normal 11 4" xfId="409"/>
    <cellStyle name="Normal 11 4 2" xfId="1170"/>
    <cellStyle name="Normal 11 4 3" xfId="771"/>
    <cellStyle name="Normal 11 5" xfId="873"/>
    <cellStyle name="Normal 11 6" xfId="513"/>
    <cellStyle name="Normal 11 7" xfId="1242"/>
    <cellStyle name="Normal 12" xfId="149"/>
    <cellStyle name="Normal 12 2" xfId="229"/>
    <cellStyle name="Normal 12 2 2" xfId="363"/>
    <cellStyle name="Normal 12 2 2 2" xfId="1093"/>
    <cellStyle name="Normal 12 2 2 3" xfId="733"/>
    <cellStyle name="Normal 12 2 3" xfId="410"/>
    <cellStyle name="Normal 12 2 3 2" xfId="1173"/>
    <cellStyle name="Normal 12 2 3 3" xfId="772"/>
    <cellStyle name="Normal 12 2 4" xfId="962"/>
    <cellStyle name="Normal 12 2 5" xfId="602"/>
    <cellStyle name="Normal 12 3" xfId="289"/>
    <cellStyle name="Normal 12 3 2" xfId="1019"/>
    <cellStyle name="Normal 12 3 3" xfId="659"/>
    <cellStyle name="Normal 12 4" xfId="411"/>
    <cellStyle name="Normal 12 4 2" xfId="1171"/>
    <cellStyle name="Normal 12 4 3" xfId="773"/>
    <cellStyle name="Normal 12 5" xfId="888"/>
    <cellStyle name="Normal 12 6" xfId="528"/>
    <cellStyle name="Normal 13" xfId="164"/>
    <cellStyle name="Normal 13 2" xfId="244"/>
    <cellStyle name="Normal 13 2 2" xfId="378"/>
    <cellStyle name="Normal 13 2 2 2" xfId="1108"/>
    <cellStyle name="Normal 13 2 2 3" xfId="748"/>
    <cellStyle name="Normal 13 2 3" xfId="412"/>
    <cellStyle name="Normal 13 2 3 2" xfId="1172"/>
    <cellStyle name="Normal 13 2 3 3" xfId="774"/>
    <cellStyle name="Normal 13 2 4" xfId="977"/>
    <cellStyle name="Normal 13 2 5" xfId="617"/>
    <cellStyle name="Normal 13 3" xfId="304"/>
    <cellStyle name="Normal 13 3 2" xfId="1034"/>
    <cellStyle name="Normal 13 3 3" xfId="674"/>
    <cellStyle name="Normal 13 4" xfId="413"/>
    <cellStyle name="Normal 13 4 2" xfId="1167"/>
    <cellStyle name="Normal 13 4 3" xfId="775"/>
    <cellStyle name="Normal 13 5" xfId="903"/>
    <cellStyle name="Normal 13 6" xfId="543"/>
    <cellStyle name="Normal 14" xfId="248"/>
    <cellStyle name="Normal 14 2" xfId="379"/>
    <cellStyle name="Normal 14 2 2" xfId="1109"/>
    <cellStyle name="Normal 14 2 3" xfId="749"/>
    <cellStyle name="Normal 14 3" xfId="978"/>
    <cellStyle name="Normal 14 4" xfId="618"/>
    <cellStyle name="Normal 15" xfId="394"/>
    <cellStyle name="Normal 15 2" xfId="1154"/>
    <cellStyle name="Normal 15 3" xfId="764"/>
    <cellStyle name="Normal 16" xfId="1241"/>
    <cellStyle name="Normal 17" xfId="3"/>
    <cellStyle name="Normal 18" xfId="1243"/>
    <cellStyle name="Normal 2" xfId="5"/>
    <cellStyle name="Normal 2 10" xfId="1140"/>
    <cellStyle name="Normal 2 11" xfId="862"/>
    <cellStyle name="Normal 2 12" xfId="502"/>
    <cellStyle name="Normal 2 13" xfId="63"/>
    <cellStyle name="Normal 2 2" xfId="7"/>
    <cellStyle name="Normal 2 2 10" xfId="863"/>
    <cellStyle name="Normal 2 2 11" xfId="503"/>
    <cellStyle name="Normal 2 2 12" xfId="64"/>
    <cellStyle name="Normal 2 2 2" xfId="26"/>
    <cellStyle name="Normal 2 2 3" xfId="20"/>
    <cellStyle name="Normal 2 2 3 2" xfId="308"/>
    <cellStyle name="Normal 2 2 3 2 2" xfId="1038"/>
    <cellStyle name="Normal 2 2 3 2 3" xfId="678"/>
    <cellStyle name="Normal 2 2 3 3" xfId="414"/>
    <cellStyle name="Normal 2 2 3 3 2" xfId="1136"/>
    <cellStyle name="Normal 2 2 3 3 3" xfId="776"/>
    <cellStyle name="Normal 2 2 3 4" xfId="1152"/>
    <cellStyle name="Normal 2 2 3 5" xfId="907"/>
    <cellStyle name="Normal 2 2 3 6" xfId="547"/>
    <cellStyle name="Normal 2 2 3 7" xfId="171"/>
    <cellStyle name="Normal 2 2 4" xfId="45"/>
    <cellStyle name="Normal 2 2 4 2" xfId="322"/>
    <cellStyle name="Normal 2 2 4 2 2" xfId="1052"/>
    <cellStyle name="Normal 2 2 4 2 3" xfId="692"/>
    <cellStyle name="Normal 2 2 4 3" xfId="415"/>
    <cellStyle name="Normal 2 2 4 3 2" xfId="1168"/>
    <cellStyle name="Normal 2 2 4 3 3" xfId="777"/>
    <cellStyle name="Normal 2 2 4 4" xfId="921"/>
    <cellStyle name="Normal 2 2 4 5" xfId="561"/>
    <cellStyle name="Normal 2 2 4 6" xfId="185"/>
    <cellStyle name="Normal 2 2 5" xfId="16"/>
    <cellStyle name="Normal 2 2 5 2" xfId="338"/>
    <cellStyle name="Normal 2 2 5 2 2" xfId="1068"/>
    <cellStyle name="Normal 2 2 5 2 3" xfId="708"/>
    <cellStyle name="Normal 2 2 5 3" xfId="937"/>
    <cellStyle name="Normal 2 2 5 4" xfId="577"/>
    <cellStyle name="Normal 2 2 5 5" xfId="201"/>
    <cellStyle name="Normal 2 2 6" xfId="169"/>
    <cellStyle name="Normal 2 2 6 2" xfId="306"/>
    <cellStyle name="Normal 2 2 6 2 2" xfId="1036"/>
    <cellStyle name="Normal 2 2 6 2 3" xfId="676"/>
    <cellStyle name="Normal 2 2 6 3" xfId="905"/>
    <cellStyle name="Normal 2 2 6 4" xfId="545"/>
    <cellStyle name="Normal 2 2 7" xfId="264"/>
    <cellStyle name="Normal 2 2 7 2" xfId="994"/>
    <cellStyle name="Normal 2 2 7 3" xfId="634"/>
    <cellStyle name="Normal 2 2 8" xfId="416"/>
    <cellStyle name="Normal 2 2 8 2" xfId="1125"/>
    <cellStyle name="Normal 2 2 8 3" xfId="778"/>
    <cellStyle name="Normal 2 2 9" xfId="1141"/>
    <cellStyle name="Normal 2 3" xfId="25"/>
    <cellStyle name="Normal 2 3 2" xfId="116"/>
    <cellStyle name="Normal 2 3 2 2" xfId="212"/>
    <cellStyle name="Normal 2 3 2 2 2" xfId="349"/>
    <cellStyle name="Normal 2 3 2 2 2 2" xfId="1079"/>
    <cellStyle name="Normal 2 3 2 2 2 3" xfId="719"/>
    <cellStyle name="Normal 2 3 2 2 3" xfId="417"/>
    <cellStyle name="Normal 2 3 2 2 3 2" xfId="1163"/>
    <cellStyle name="Normal 2 3 2 2 3 3" xfId="779"/>
    <cellStyle name="Normal 2 3 2 2 4" xfId="948"/>
    <cellStyle name="Normal 2 3 2 2 5" xfId="588"/>
    <cellStyle name="Normal 2 3 2 3" xfId="275"/>
    <cellStyle name="Normal 2 3 2 3 2" xfId="1005"/>
    <cellStyle name="Normal 2 3 2 3 3" xfId="645"/>
    <cellStyle name="Normal 2 3 2 4" xfId="418"/>
    <cellStyle name="Normal 2 3 2 4 2" xfId="1162"/>
    <cellStyle name="Normal 2 3 2 4 3" xfId="780"/>
    <cellStyle name="Normal 2 3 2 5" xfId="874"/>
    <cellStyle name="Normal 2 3 2 6" xfId="514"/>
    <cellStyle name="Normal 2 3 3" xfId="150"/>
    <cellStyle name="Normal 2 3 3 2" xfId="230"/>
    <cellStyle name="Normal 2 3 3 2 2" xfId="364"/>
    <cellStyle name="Normal 2 3 3 2 2 2" xfId="1094"/>
    <cellStyle name="Normal 2 3 3 2 2 3" xfId="734"/>
    <cellStyle name="Normal 2 3 3 2 3" xfId="419"/>
    <cellStyle name="Normal 2 3 3 2 3 2" xfId="1160"/>
    <cellStyle name="Normal 2 3 3 2 3 3" xfId="781"/>
    <cellStyle name="Normal 2 3 3 2 4" xfId="963"/>
    <cellStyle name="Normal 2 3 3 2 5" xfId="603"/>
    <cellStyle name="Normal 2 3 3 3" xfId="290"/>
    <cellStyle name="Normal 2 3 3 3 2" xfId="420"/>
    <cellStyle name="Normal 2 3 3 3 3" xfId="1020"/>
    <cellStyle name="Normal 2 3 3 3 4" xfId="660"/>
    <cellStyle name="Normal 2 3 3 4" xfId="421"/>
    <cellStyle name="Normal 2 3 3 5" xfId="889"/>
    <cellStyle name="Normal 2 3 3 6" xfId="529"/>
    <cellStyle name="Normal 2 3 4" xfId="249"/>
    <cellStyle name="Normal 2 3 4 2" xfId="380"/>
    <cellStyle name="Normal 2 3 4 2 2" xfId="1110"/>
    <cellStyle name="Normal 2 3 4 2 3" xfId="750"/>
    <cellStyle name="Normal 2 3 4 3" xfId="979"/>
    <cellStyle name="Normal 2 3 4 4" xfId="619"/>
    <cellStyle name="Normal 2 3 5" xfId="1244"/>
    <cellStyle name="Normal 2 4" xfId="19"/>
    <cellStyle name="Normal 2 4 2" xfId="245"/>
    <cellStyle name="Normal 2 4 3" xfId="170"/>
    <cellStyle name="Normal 2 4 3 2" xfId="307"/>
    <cellStyle name="Normal 2 4 3 2 2" xfId="1037"/>
    <cellStyle name="Normal 2 4 3 2 3" xfId="677"/>
    <cellStyle name="Normal 2 4 3 3" xfId="906"/>
    <cellStyle name="Normal 2 4 3 4" xfId="546"/>
    <cellStyle name="Normal 2 4 4" xfId="1135"/>
    <cellStyle name="Normal 2 4 5" xfId="1151"/>
    <cellStyle name="Normal 2 4 6" xfId="165"/>
    <cellStyle name="Normal 2 5" xfId="46"/>
    <cellStyle name="Normal 2 5 2" xfId="323"/>
    <cellStyle name="Normal 2 5 2 2" xfId="1053"/>
    <cellStyle name="Normal 2 5 2 3" xfId="693"/>
    <cellStyle name="Normal 2 5 3" xfId="422"/>
    <cellStyle name="Normal 2 5 3 2" xfId="1164"/>
    <cellStyle name="Normal 2 5 3 3" xfId="782"/>
    <cellStyle name="Normal 2 5 4" xfId="922"/>
    <cellStyle name="Normal 2 5 5" xfId="562"/>
    <cellStyle name="Normal 2 5 6" xfId="186"/>
    <cellStyle name="Normal 2 6" xfId="15"/>
    <cellStyle name="Normal 2 6 2" xfId="337"/>
    <cellStyle name="Normal 2 6 2 2" xfId="1067"/>
    <cellStyle name="Normal 2 6 2 3" xfId="707"/>
    <cellStyle name="Normal 2 6 3" xfId="936"/>
    <cellStyle name="Normal 2 6 4" xfId="576"/>
    <cellStyle name="Normal 2 6 5" xfId="200"/>
    <cellStyle name="Normal 2 7" xfId="168"/>
    <cellStyle name="Normal 2 7 2" xfId="305"/>
    <cellStyle name="Normal 2 7 2 2" xfId="1035"/>
    <cellStyle name="Normal 2 7 2 3" xfId="675"/>
    <cellStyle name="Normal 2 7 3" xfId="904"/>
    <cellStyle name="Normal 2 7 4" xfId="544"/>
    <cellStyle name="Normal 2 8" xfId="263"/>
    <cellStyle name="Normal 2 8 2" xfId="993"/>
    <cellStyle name="Normal 2 8 3" xfId="633"/>
    <cellStyle name="Normal 2 9" xfId="423"/>
    <cellStyle name="Normal 2 9 2" xfId="1124"/>
    <cellStyle name="Normal 2 9 3" xfId="783"/>
    <cellStyle name="Normal 3" xfId="11"/>
    <cellStyle name="Normal 3 2" xfId="12"/>
    <cellStyle name="Normal 3 3" xfId="117"/>
    <cellStyle name="Normal 3 3 2" xfId="151"/>
    <cellStyle name="Normal 3 3 2 2" xfId="231"/>
    <cellStyle name="Normal 3 3 2 2 2" xfId="365"/>
    <cellStyle name="Normal 3 3 2 2 2 2" xfId="1095"/>
    <cellStyle name="Normal 3 3 2 2 2 3" xfId="735"/>
    <cellStyle name="Normal 3 3 2 2 3" xfId="424"/>
    <cellStyle name="Normal 3 3 2 2 3 2" xfId="1158"/>
    <cellStyle name="Normal 3 3 2 2 3 3" xfId="784"/>
    <cellStyle name="Normal 3 3 2 2 4" xfId="964"/>
    <cellStyle name="Normal 3 3 2 2 5" xfId="604"/>
    <cellStyle name="Normal 3 3 2 3" xfId="291"/>
    <cellStyle name="Normal 3 3 2 3 2" xfId="1021"/>
    <cellStyle name="Normal 3 3 2 3 3" xfId="661"/>
    <cellStyle name="Normal 3 3 2 4" xfId="425"/>
    <cellStyle name="Normal 3 3 2 4 2" xfId="1174"/>
    <cellStyle name="Normal 3 3 2 4 3" xfId="785"/>
    <cellStyle name="Normal 3 3 2 5" xfId="890"/>
    <cellStyle name="Normal 3 3 2 6" xfId="530"/>
    <cellStyle name="Normal 3 3 3" xfId="213"/>
    <cellStyle name="Normal 3 3 3 2" xfId="350"/>
    <cellStyle name="Normal 3 3 3 2 2" xfId="1080"/>
    <cellStyle name="Normal 3 3 3 2 3" xfId="720"/>
    <cellStyle name="Normal 3 3 3 3" xfId="426"/>
    <cellStyle name="Normal 3 3 3 3 2" xfId="1175"/>
    <cellStyle name="Normal 3 3 3 3 3" xfId="786"/>
    <cellStyle name="Normal 3 3 3 4" xfId="949"/>
    <cellStyle name="Normal 3 3 3 5" xfId="589"/>
    <cellStyle name="Normal 3 3 4" xfId="250"/>
    <cellStyle name="Normal 3 3 4 2" xfId="381"/>
    <cellStyle name="Normal 3 3 4 2 2" xfId="1111"/>
    <cellStyle name="Normal 3 3 4 2 3" xfId="751"/>
    <cellStyle name="Normal 3 3 4 3" xfId="980"/>
    <cellStyle name="Normal 3 3 4 4" xfId="620"/>
    <cellStyle name="Normal 3 3 5" xfId="276"/>
    <cellStyle name="Normal 3 3 5 2" xfId="1006"/>
    <cellStyle name="Normal 3 3 5 3" xfId="646"/>
    <cellStyle name="Normal 3 3 6" xfId="427"/>
    <cellStyle name="Normal 3 3 6 2" xfId="1176"/>
    <cellStyle name="Normal 3 3 6 3" xfId="787"/>
    <cellStyle name="Normal 3 3 7" xfId="875"/>
    <cellStyle name="Normal 3 3 8" xfId="515"/>
    <cellStyle name="Normal 3 3 9" xfId="1245"/>
    <cellStyle name="Normal 3 4" xfId="166"/>
    <cellStyle name="Normal 3 4 2" xfId="246"/>
    <cellStyle name="Normal 3 5" xfId="167"/>
    <cellStyle name="Normal 3 6" xfId="398"/>
    <cellStyle name="Normal 4" xfId="18"/>
    <cellStyle name="Normal 4 10" xfId="42"/>
    <cellStyle name="Normal 4 10 2" xfId="319"/>
    <cellStyle name="Normal 4 10 2 2" xfId="1049"/>
    <cellStyle name="Normal 4 10 2 3" xfId="689"/>
    <cellStyle name="Normal 4 10 3" xfId="918"/>
    <cellStyle name="Normal 4 10 4" xfId="558"/>
    <cellStyle name="Normal 4 10 5" xfId="182"/>
    <cellStyle name="Normal 4 11" xfId="44"/>
    <cellStyle name="Normal 4 11 2" xfId="321"/>
    <cellStyle name="Normal 4 11 2 2" xfId="1051"/>
    <cellStyle name="Normal 4 11 2 3" xfId="691"/>
    <cellStyle name="Normal 4 11 3" xfId="920"/>
    <cellStyle name="Normal 4 11 4" xfId="560"/>
    <cellStyle name="Normal 4 11 5" xfId="184"/>
    <cellStyle name="Normal 4 12" xfId="57"/>
    <cellStyle name="Normal 4 12 2" xfId="334"/>
    <cellStyle name="Normal 4 12 2 2" xfId="1064"/>
    <cellStyle name="Normal 4 12 2 3" xfId="704"/>
    <cellStyle name="Normal 4 12 3" xfId="933"/>
    <cellStyle name="Normal 4 12 4" xfId="573"/>
    <cellStyle name="Normal 4 12 5" xfId="197"/>
    <cellStyle name="Normal 4 13" xfId="59"/>
    <cellStyle name="Normal 4 13 2" xfId="336"/>
    <cellStyle name="Normal 4 13 2 2" xfId="1066"/>
    <cellStyle name="Normal 4 13 2 3" xfId="706"/>
    <cellStyle name="Normal 4 13 3" xfId="935"/>
    <cellStyle name="Normal 4 13 4" xfId="575"/>
    <cellStyle name="Normal 4 13 5" xfId="199"/>
    <cellStyle name="Normal 4 14" xfId="401"/>
    <cellStyle name="Normal 4 14 2" xfId="1166"/>
    <cellStyle name="Normal 4 14 3" xfId="767"/>
    <cellStyle name="Normal 4 2" xfId="27"/>
    <cellStyle name="Normal 4 2 10" xfId="504"/>
    <cellStyle name="Normal 4 2 11" xfId="66"/>
    <cellStyle name="Normal 4 2 2" xfId="40"/>
    <cellStyle name="Normal 4 2 3" xfId="47"/>
    <cellStyle name="Normal 4 2 3 2" xfId="324"/>
    <cellStyle name="Normal 4 2 3 2 2" xfId="1054"/>
    <cellStyle name="Normal 4 2 3 2 3" xfId="694"/>
    <cellStyle name="Normal 4 2 3 3" xfId="428"/>
    <cellStyle name="Normal 4 2 3 3 2" xfId="1137"/>
    <cellStyle name="Normal 4 2 3 3 3" xfId="788"/>
    <cellStyle name="Normal 4 2 3 4" xfId="1153"/>
    <cellStyle name="Normal 4 2 3 5" xfId="923"/>
    <cellStyle name="Normal 4 2 3 6" xfId="563"/>
    <cellStyle name="Normal 4 2 3 7" xfId="187"/>
    <cellStyle name="Normal 4 2 4" xfId="202"/>
    <cellStyle name="Normal 4 2 4 2" xfId="339"/>
    <cellStyle name="Normal 4 2 4 2 2" xfId="1069"/>
    <cellStyle name="Normal 4 2 4 2 3" xfId="709"/>
    <cellStyle name="Normal 4 2 4 3" xfId="429"/>
    <cellStyle name="Normal 4 2 4 3 2" xfId="1177"/>
    <cellStyle name="Normal 4 2 4 3 3" xfId="789"/>
    <cellStyle name="Normal 4 2 4 4" xfId="938"/>
    <cellStyle name="Normal 4 2 4 5" xfId="578"/>
    <cellStyle name="Normal 4 2 5" xfId="172"/>
    <cellStyle name="Normal 4 2 5 2" xfId="309"/>
    <cellStyle name="Normal 4 2 5 2 2" xfId="1039"/>
    <cellStyle name="Normal 4 2 5 2 3" xfId="679"/>
    <cellStyle name="Normal 4 2 5 3" xfId="908"/>
    <cellStyle name="Normal 4 2 5 4" xfId="548"/>
    <cellStyle name="Normal 4 2 6" xfId="265"/>
    <cellStyle name="Normal 4 2 6 2" xfId="995"/>
    <cellStyle name="Normal 4 2 6 3" xfId="635"/>
    <cellStyle name="Normal 4 2 7" xfId="430"/>
    <cellStyle name="Normal 4 2 7 2" xfId="1126"/>
    <cellStyle name="Normal 4 2 7 3" xfId="790"/>
    <cellStyle name="Normal 4 2 8" xfId="1142"/>
    <cellStyle name="Normal 4 2 9" xfId="864"/>
    <cellStyle name="Normal 4 3" xfId="28"/>
    <cellStyle name="Normal 4 3 10" xfId="67"/>
    <cellStyle name="Normal 4 3 2" xfId="48"/>
    <cellStyle name="Normal 4 3 2 2" xfId="325"/>
    <cellStyle name="Normal 4 3 2 2 2" xfId="1055"/>
    <cellStyle name="Normal 4 3 2 2 3" xfId="695"/>
    <cellStyle name="Normal 4 3 2 3" xfId="431"/>
    <cellStyle name="Normal 4 3 2 3 2" xfId="1178"/>
    <cellStyle name="Normal 4 3 2 3 3" xfId="791"/>
    <cellStyle name="Normal 4 3 2 4" xfId="924"/>
    <cellStyle name="Normal 4 3 2 5" xfId="564"/>
    <cellStyle name="Normal 4 3 2 6" xfId="188"/>
    <cellStyle name="Normal 4 3 3" xfId="203"/>
    <cellStyle name="Normal 4 3 3 2" xfId="340"/>
    <cellStyle name="Normal 4 3 3 2 2" xfId="1070"/>
    <cellStyle name="Normal 4 3 3 2 3" xfId="710"/>
    <cellStyle name="Normal 4 3 3 3" xfId="432"/>
    <cellStyle name="Normal 4 3 3 3 2" xfId="1179"/>
    <cellStyle name="Normal 4 3 3 3 3" xfId="792"/>
    <cellStyle name="Normal 4 3 3 4" xfId="939"/>
    <cellStyle name="Normal 4 3 3 5" xfId="579"/>
    <cellStyle name="Normal 4 3 4" xfId="173"/>
    <cellStyle name="Normal 4 3 4 2" xfId="310"/>
    <cellStyle name="Normal 4 3 4 2 2" xfId="1040"/>
    <cellStyle name="Normal 4 3 4 2 3" xfId="680"/>
    <cellStyle name="Normal 4 3 4 3" xfId="909"/>
    <cellStyle name="Normal 4 3 4 4" xfId="549"/>
    <cellStyle name="Normal 4 3 5" xfId="266"/>
    <cellStyle name="Normal 4 3 5 2" xfId="996"/>
    <cellStyle name="Normal 4 3 5 3" xfId="636"/>
    <cellStyle name="Normal 4 3 6" xfId="433"/>
    <cellStyle name="Normal 4 3 6 2" xfId="1127"/>
    <cellStyle name="Normal 4 3 6 3" xfId="793"/>
    <cellStyle name="Normal 4 3 7" xfId="1143"/>
    <cellStyle name="Normal 4 3 8" xfId="865"/>
    <cellStyle name="Normal 4 3 9" xfId="505"/>
    <cellStyle name="Normal 4 4" xfId="29"/>
    <cellStyle name="Normal 4 4 10" xfId="68"/>
    <cellStyle name="Normal 4 4 2" xfId="49"/>
    <cellStyle name="Normal 4 4 2 2" xfId="326"/>
    <cellStyle name="Normal 4 4 2 2 2" xfId="1056"/>
    <cellStyle name="Normal 4 4 2 2 3" xfId="696"/>
    <cellStyle name="Normal 4 4 2 3" xfId="434"/>
    <cellStyle name="Normal 4 4 2 3 2" xfId="1180"/>
    <cellStyle name="Normal 4 4 2 3 3" xfId="794"/>
    <cellStyle name="Normal 4 4 2 4" xfId="925"/>
    <cellStyle name="Normal 4 4 2 5" xfId="565"/>
    <cellStyle name="Normal 4 4 2 6" xfId="189"/>
    <cellStyle name="Normal 4 4 3" xfId="204"/>
    <cellStyle name="Normal 4 4 3 2" xfId="341"/>
    <cellStyle name="Normal 4 4 3 2 2" xfId="1071"/>
    <cellStyle name="Normal 4 4 3 2 3" xfId="711"/>
    <cellStyle name="Normal 4 4 3 3" xfId="435"/>
    <cellStyle name="Normal 4 4 3 3 2" xfId="1181"/>
    <cellStyle name="Normal 4 4 3 3 3" xfId="795"/>
    <cellStyle name="Normal 4 4 3 4" xfId="940"/>
    <cellStyle name="Normal 4 4 3 5" xfId="580"/>
    <cellStyle name="Normal 4 4 4" xfId="174"/>
    <cellStyle name="Normal 4 4 4 2" xfId="311"/>
    <cellStyle name="Normal 4 4 4 2 2" xfId="1041"/>
    <cellStyle name="Normal 4 4 4 2 3" xfId="681"/>
    <cellStyle name="Normal 4 4 4 3" xfId="910"/>
    <cellStyle name="Normal 4 4 4 4" xfId="550"/>
    <cellStyle name="Normal 4 4 5" xfId="267"/>
    <cellStyle name="Normal 4 4 5 2" xfId="997"/>
    <cellStyle name="Normal 4 4 5 3" xfId="637"/>
    <cellStyle name="Normal 4 4 6" xfId="436"/>
    <cellStyle name="Normal 4 4 6 2" xfId="1128"/>
    <cellStyle name="Normal 4 4 6 3" xfId="796"/>
    <cellStyle name="Normal 4 4 7" xfId="1144"/>
    <cellStyle name="Normal 4 4 8" xfId="866"/>
    <cellStyle name="Normal 4 4 9" xfId="506"/>
    <cellStyle name="Normal 4 5" xfId="30"/>
    <cellStyle name="Normal 4 5 10" xfId="69"/>
    <cellStyle name="Normal 4 5 2" xfId="50"/>
    <cellStyle name="Normal 4 5 2 2" xfId="327"/>
    <cellStyle name="Normal 4 5 2 2 2" xfId="1057"/>
    <cellStyle name="Normal 4 5 2 2 3" xfId="697"/>
    <cellStyle name="Normal 4 5 2 3" xfId="437"/>
    <cellStyle name="Normal 4 5 2 3 2" xfId="1182"/>
    <cellStyle name="Normal 4 5 2 3 3" xfId="797"/>
    <cellStyle name="Normal 4 5 2 4" xfId="926"/>
    <cellStyle name="Normal 4 5 2 5" xfId="566"/>
    <cellStyle name="Normal 4 5 2 6" xfId="190"/>
    <cellStyle name="Normal 4 5 3" xfId="205"/>
    <cellStyle name="Normal 4 5 3 2" xfId="342"/>
    <cellStyle name="Normal 4 5 3 2 2" xfId="1072"/>
    <cellStyle name="Normal 4 5 3 2 3" xfId="712"/>
    <cellStyle name="Normal 4 5 3 3" xfId="438"/>
    <cellStyle name="Normal 4 5 3 3 2" xfId="1183"/>
    <cellStyle name="Normal 4 5 3 3 3" xfId="798"/>
    <cellStyle name="Normal 4 5 3 4" xfId="941"/>
    <cellStyle name="Normal 4 5 3 5" xfId="581"/>
    <cellStyle name="Normal 4 5 4" xfId="175"/>
    <cellStyle name="Normal 4 5 4 2" xfId="312"/>
    <cellStyle name="Normal 4 5 4 2 2" xfId="1042"/>
    <cellStyle name="Normal 4 5 4 2 3" xfId="682"/>
    <cellStyle name="Normal 4 5 4 3" xfId="911"/>
    <cellStyle name="Normal 4 5 4 4" xfId="551"/>
    <cellStyle name="Normal 4 5 5" xfId="268"/>
    <cellStyle name="Normal 4 5 5 2" xfId="998"/>
    <cellStyle name="Normal 4 5 5 3" xfId="638"/>
    <cellStyle name="Normal 4 5 6" xfId="439"/>
    <cellStyle name="Normal 4 5 6 2" xfId="1129"/>
    <cellStyle name="Normal 4 5 6 3" xfId="799"/>
    <cellStyle name="Normal 4 5 7" xfId="1145"/>
    <cellStyle name="Normal 4 5 8" xfId="867"/>
    <cellStyle name="Normal 4 5 9" xfId="507"/>
    <cellStyle name="Normal 4 6" xfId="31"/>
    <cellStyle name="Normal 4 6 10" xfId="70"/>
    <cellStyle name="Normal 4 6 2" xfId="51"/>
    <cellStyle name="Normal 4 6 2 2" xfId="328"/>
    <cellStyle name="Normal 4 6 2 2 2" xfId="1058"/>
    <cellStyle name="Normal 4 6 2 2 3" xfId="698"/>
    <cellStyle name="Normal 4 6 2 3" xfId="440"/>
    <cellStyle name="Normal 4 6 2 3 2" xfId="1184"/>
    <cellStyle name="Normal 4 6 2 3 3" xfId="800"/>
    <cellStyle name="Normal 4 6 2 4" xfId="927"/>
    <cellStyle name="Normal 4 6 2 5" xfId="567"/>
    <cellStyle name="Normal 4 6 2 6" xfId="191"/>
    <cellStyle name="Normal 4 6 3" xfId="206"/>
    <cellStyle name="Normal 4 6 3 2" xfId="343"/>
    <cellStyle name="Normal 4 6 3 2 2" xfId="1073"/>
    <cellStyle name="Normal 4 6 3 2 3" xfId="713"/>
    <cellStyle name="Normal 4 6 3 3" xfId="441"/>
    <cellStyle name="Normal 4 6 3 3 2" xfId="1185"/>
    <cellStyle name="Normal 4 6 3 3 3" xfId="801"/>
    <cellStyle name="Normal 4 6 3 4" xfId="942"/>
    <cellStyle name="Normal 4 6 3 5" xfId="582"/>
    <cellStyle name="Normal 4 6 4" xfId="176"/>
    <cellStyle name="Normal 4 6 4 2" xfId="313"/>
    <cellStyle name="Normal 4 6 4 2 2" xfId="1043"/>
    <cellStyle name="Normal 4 6 4 2 3" xfId="683"/>
    <cellStyle name="Normal 4 6 4 3" xfId="912"/>
    <cellStyle name="Normal 4 6 4 4" xfId="552"/>
    <cellStyle name="Normal 4 6 5" xfId="269"/>
    <cellStyle name="Normal 4 6 5 2" xfId="999"/>
    <cellStyle name="Normal 4 6 5 3" xfId="639"/>
    <cellStyle name="Normal 4 6 6" xfId="442"/>
    <cellStyle name="Normal 4 6 6 2" xfId="1130"/>
    <cellStyle name="Normal 4 6 6 3" xfId="802"/>
    <cellStyle name="Normal 4 6 7" xfId="1146"/>
    <cellStyle name="Normal 4 6 8" xfId="868"/>
    <cellStyle name="Normal 4 6 9" xfId="508"/>
    <cellStyle name="Normal 4 7" xfId="32"/>
    <cellStyle name="Normal 4 7 10" xfId="71"/>
    <cellStyle name="Normal 4 7 2" xfId="52"/>
    <cellStyle name="Normal 4 7 2 2" xfId="329"/>
    <cellStyle name="Normal 4 7 2 2 2" xfId="1059"/>
    <cellStyle name="Normal 4 7 2 2 3" xfId="699"/>
    <cellStyle name="Normal 4 7 2 3" xfId="443"/>
    <cellStyle name="Normal 4 7 2 3 2" xfId="1186"/>
    <cellStyle name="Normal 4 7 2 3 3" xfId="803"/>
    <cellStyle name="Normal 4 7 2 4" xfId="928"/>
    <cellStyle name="Normal 4 7 2 5" xfId="568"/>
    <cellStyle name="Normal 4 7 2 6" xfId="192"/>
    <cellStyle name="Normal 4 7 3" xfId="207"/>
    <cellStyle name="Normal 4 7 3 2" xfId="344"/>
    <cellStyle name="Normal 4 7 3 2 2" xfId="1074"/>
    <cellStyle name="Normal 4 7 3 2 3" xfId="714"/>
    <cellStyle name="Normal 4 7 3 3" xfId="444"/>
    <cellStyle name="Normal 4 7 3 3 2" xfId="1187"/>
    <cellStyle name="Normal 4 7 3 3 3" xfId="804"/>
    <cellStyle name="Normal 4 7 3 4" xfId="943"/>
    <cellStyle name="Normal 4 7 3 5" xfId="583"/>
    <cellStyle name="Normal 4 7 4" xfId="177"/>
    <cellStyle name="Normal 4 7 4 2" xfId="314"/>
    <cellStyle name="Normal 4 7 4 2 2" xfId="1044"/>
    <cellStyle name="Normal 4 7 4 2 3" xfId="684"/>
    <cellStyle name="Normal 4 7 4 3" xfId="913"/>
    <cellStyle name="Normal 4 7 4 4" xfId="553"/>
    <cellStyle name="Normal 4 7 5" xfId="270"/>
    <cellStyle name="Normal 4 7 5 2" xfId="1000"/>
    <cellStyle name="Normal 4 7 5 3" xfId="640"/>
    <cellStyle name="Normal 4 7 6" xfId="445"/>
    <cellStyle name="Normal 4 7 6 2" xfId="1131"/>
    <cellStyle name="Normal 4 7 6 3" xfId="805"/>
    <cellStyle name="Normal 4 7 7" xfId="1147"/>
    <cellStyle name="Normal 4 7 8" xfId="869"/>
    <cellStyle name="Normal 4 7 9" xfId="509"/>
    <cellStyle name="Normal 4 8" xfId="33"/>
    <cellStyle name="Normal 4 8 10" xfId="72"/>
    <cellStyle name="Normal 4 8 2" xfId="53"/>
    <cellStyle name="Normal 4 8 2 2" xfId="330"/>
    <cellStyle name="Normal 4 8 2 2 2" xfId="1060"/>
    <cellStyle name="Normal 4 8 2 2 3" xfId="700"/>
    <cellStyle name="Normal 4 8 2 3" xfId="446"/>
    <cellStyle name="Normal 4 8 2 3 2" xfId="1188"/>
    <cellStyle name="Normal 4 8 2 3 3" xfId="806"/>
    <cellStyle name="Normal 4 8 2 4" xfId="929"/>
    <cellStyle name="Normal 4 8 2 5" xfId="569"/>
    <cellStyle name="Normal 4 8 2 6" xfId="193"/>
    <cellStyle name="Normal 4 8 3" xfId="208"/>
    <cellStyle name="Normal 4 8 3 2" xfId="345"/>
    <cellStyle name="Normal 4 8 3 2 2" xfId="1075"/>
    <cellStyle name="Normal 4 8 3 2 3" xfId="715"/>
    <cellStyle name="Normal 4 8 3 3" xfId="447"/>
    <cellStyle name="Normal 4 8 3 3 2" xfId="1189"/>
    <cellStyle name="Normal 4 8 3 3 3" xfId="807"/>
    <cellStyle name="Normal 4 8 3 4" xfId="944"/>
    <cellStyle name="Normal 4 8 3 5" xfId="584"/>
    <cellStyle name="Normal 4 8 4" xfId="178"/>
    <cellStyle name="Normal 4 8 4 2" xfId="315"/>
    <cellStyle name="Normal 4 8 4 2 2" xfId="1045"/>
    <cellStyle name="Normal 4 8 4 2 3" xfId="685"/>
    <cellStyle name="Normal 4 8 4 3" xfId="914"/>
    <cellStyle name="Normal 4 8 4 4" xfId="554"/>
    <cellStyle name="Normal 4 8 5" xfId="271"/>
    <cellStyle name="Normal 4 8 5 2" xfId="1001"/>
    <cellStyle name="Normal 4 8 5 3" xfId="641"/>
    <cellStyle name="Normal 4 8 6" xfId="448"/>
    <cellStyle name="Normal 4 8 6 2" xfId="1132"/>
    <cellStyle name="Normal 4 8 6 3" xfId="808"/>
    <cellStyle name="Normal 4 8 7" xfId="1148"/>
    <cellStyle name="Normal 4 8 8" xfId="870"/>
    <cellStyle name="Normal 4 8 9" xfId="510"/>
    <cellStyle name="Normal 4 9" xfId="38"/>
    <cellStyle name="Normal 4 9 10" xfId="74"/>
    <cellStyle name="Normal 4 9 2" xfId="55"/>
    <cellStyle name="Normal 4 9 2 2" xfId="332"/>
    <cellStyle name="Normal 4 9 2 2 2" xfId="1062"/>
    <cellStyle name="Normal 4 9 2 2 3" xfId="702"/>
    <cellStyle name="Normal 4 9 2 3" xfId="449"/>
    <cellStyle name="Normal 4 9 2 3 2" xfId="1190"/>
    <cellStyle name="Normal 4 9 2 3 3" xfId="809"/>
    <cellStyle name="Normal 4 9 2 4" xfId="931"/>
    <cellStyle name="Normal 4 9 2 5" xfId="571"/>
    <cellStyle name="Normal 4 9 2 6" xfId="195"/>
    <cellStyle name="Normal 4 9 3" xfId="210"/>
    <cellStyle name="Normal 4 9 3 2" xfId="347"/>
    <cellStyle name="Normal 4 9 3 2 2" xfId="1077"/>
    <cellStyle name="Normal 4 9 3 2 3" xfId="717"/>
    <cellStyle name="Normal 4 9 3 3" xfId="450"/>
    <cellStyle name="Normal 4 9 3 3 2" xfId="1191"/>
    <cellStyle name="Normal 4 9 3 3 3" xfId="810"/>
    <cellStyle name="Normal 4 9 3 4" xfId="946"/>
    <cellStyle name="Normal 4 9 3 5" xfId="586"/>
    <cellStyle name="Normal 4 9 4" xfId="180"/>
    <cellStyle name="Normal 4 9 4 2" xfId="317"/>
    <cellStyle name="Normal 4 9 4 2 2" xfId="1047"/>
    <cellStyle name="Normal 4 9 4 2 3" xfId="687"/>
    <cellStyle name="Normal 4 9 4 3" xfId="916"/>
    <cellStyle name="Normal 4 9 4 4" xfId="556"/>
    <cellStyle name="Normal 4 9 5" xfId="273"/>
    <cellStyle name="Normal 4 9 5 2" xfId="1003"/>
    <cellStyle name="Normal 4 9 5 3" xfId="643"/>
    <cellStyle name="Normal 4 9 6" xfId="451"/>
    <cellStyle name="Normal 4 9 6 2" xfId="1134"/>
    <cellStyle name="Normal 4 9 6 3" xfId="811"/>
    <cellStyle name="Normal 4 9 7" xfId="1150"/>
    <cellStyle name="Normal 4 9 8" xfId="872"/>
    <cellStyle name="Normal 4 9 9" xfId="512"/>
    <cellStyle name="Normal 5" xfId="34"/>
    <cellStyle name="Normal 5 10" xfId="452"/>
    <cellStyle name="Normal 5 10 2" xfId="1149"/>
    <cellStyle name="Normal 5 10 3" xfId="812"/>
    <cellStyle name="Normal 5 11" xfId="871"/>
    <cellStyle name="Normal 5 12" xfId="511"/>
    <cellStyle name="Normal 5 13" xfId="1246"/>
    <cellStyle name="Normal 5 14" xfId="73"/>
    <cellStyle name="Normal 5 2" xfId="54"/>
    <cellStyle name="Normal 5 2 10" xfId="1247"/>
    <cellStyle name="Normal 5 2 11" xfId="119"/>
    <cellStyle name="Normal 5 2 2" xfId="153"/>
    <cellStyle name="Normal 5 2 2 2" xfId="233"/>
    <cellStyle name="Normal 5 2 2 2 2" xfId="367"/>
    <cellStyle name="Normal 5 2 2 2 2 2" xfId="1097"/>
    <cellStyle name="Normal 5 2 2 2 2 3" xfId="737"/>
    <cellStyle name="Normal 5 2 2 2 3" xfId="453"/>
    <cellStyle name="Normal 5 2 2 2 3 2" xfId="1192"/>
    <cellStyle name="Normal 5 2 2 2 3 3" xfId="813"/>
    <cellStyle name="Normal 5 2 2 2 4" xfId="966"/>
    <cellStyle name="Normal 5 2 2 2 5" xfId="606"/>
    <cellStyle name="Normal 5 2 2 3" xfId="293"/>
    <cellStyle name="Normal 5 2 2 3 2" xfId="1023"/>
    <cellStyle name="Normal 5 2 2 3 3" xfId="663"/>
    <cellStyle name="Normal 5 2 2 4" xfId="454"/>
    <cellStyle name="Normal 5 2 2 4 2" xfId="1193"/>
    <cellStyle name="Normal 5 2 2 4 3" xfId="814"/>
    <cellStyle name="Normal 5 2 2 5" xfId="892"/>
    <cellStyle name="Normal 5 2 2 6" xfId="532"/>
    <cellStyle name="Normal 5 2 3" xfId="215"/>
    <cellStyle name="Normal 5 2 3 2" xfId="352"/>
    <cellStyle name="Normal 5 2 3 2 2" xfId="1082"/>
    <cellStyle name="Normal 5 2 3 2 3" xfId="722"/>
    <cellStyle name="Normal 5 2 3 3" xfId="455"/>
    <cellStyle name="Normal 5 2 3 3 2" xfId="1194"/>
    <cellStyle name="Normal 5 2 3 3 3" xfId="815"/>
    <cellStyle name="Normal 5 2 3 4" xfId="951"/>
    <cellStyle name="Normal 5 2 3 5" xfId="591"/>
    <cellStyle name="Normal 5 2 4" xfId="194"/>
    <cellStyle name="Normal 5 2 4 2" xfId="331"/>
    <cellStyle name="Normal 5 2 4 2 2" xfId="1061"/>
    <cellStyle name="Normal 5 2 4 2 3" xfId="701"/>
    <cellStyle name="Normal 5 2 4 3" xfId="930"/>
    <cellStyle name="Normal 5 2 4 4" xfId="570"/>
    <cellStyle name="Normal 5 2 5" xfId="252"/>
    <cellStyle name="Normal 5 2 5 2" xfId="383"/>
    <cellStyle name="Normal 5 2 5 2 2" xfId="1113"/>
    <cellStyle name="Normal 5 2 5 2 3" xfId="753"/>
    <cellStyle name="Normal 5 2 5 3" xfId="982"/>
    <cellStyle name="Normal 5 2 5 4" xfId="622"/>
    <cellStyle name="Normal 5 2 6" xfId="278"/>
    <cellStyle name="Normal 5 2 6 2" xfId="1008"/>
    <cellStyle name="Normal 5 2 6 3" xfId="648"/>
    <cellStyle name="Normal 5 2 7" xfId="456"/>
    <cellStyle name="Normal 5 2 7 2" xfId="1195"/>
    <cellStyle name="Normal 5 2 7 3" xfId="816"/>
    <cellStyle name="Normal 5 2 8" xfId="877"/>
    <cellStyle name="Normal 5 2 9" xfId="517"/>
    <cellStyle name="Normal 5 3" xfId="118"/>
    <cellStyle name="Normal 5 3 2" xfId="214"/>
    <cellStyle name="Normal 5 3 2 2" xfId="351"/>
    <cellStyle name="Normal 5 3 2 2 2" xfId="1081"/>
    <cellStyle name="Normal 5 3 2 2 3" xfId="721"/>
    <cellStyle name="Normal 5 3 2 3" xfId="457"/>
    <cellStyle name="Normal 5 3 2 3 2" xfId="1196"/>
    <cellStyle name="Normal 5 3 2 3 3" xfId="817"/>
    <cellStyle name="Normal 5 3 2 4" xfId="950"/>
    <cellStyle name="Normal 5 3 2 5" xfId="590"/>
    <cellStyle name="Normal 5 3 3" xfId="277"/>
    <cellStyle name="Normal 5 3 3 2" xfId="1007"/>
    <cellStyle name="Normal 5 3 3 3" xfId="647"/>
    <cellStyle name="Normal 5 3 4" xfId="458"/>
    <cellStyle name="Normal 5 3 4 2" xfId="1197"/>
    <cellStyle name="Normal 5 3 4 3" xfId="818"/>
    <cellStyle name="Normal 5 3 5" xfId="876"/>
    <cellStyle name="Normal 5 3 6" xfId="516"/>
    <cellStyle name="Normal 5 4" xfId="152"/>
    <cellStyle name="Normal 5 4 2" xfId="232"/>
    <cellStyle name="Normal 5 4 2 2" xfId="366"/>
    <cellStyle name="Normal 5 4 2 2 2" xfId="1096"/>
    <cellStyle name="Normal 5 4 2 2 3" xfId="736"/>
    <cellStyle name="Normal 5 4 2 3" xfId="459"/>
    <cellStyle name="Normal 5 4 2 3 2" xfId="1198"/>
    <cellStyle name="Normal 5 4 2 3 3" xfId="819"/>
    <cellStyle name="Normal 5 4 2 4" xfId="965"/>
    <cellStyle name="Normal 5 4 2 5" xfId="605"/>
    <cellStyle name="Normal 5 4 3" xfId="292"/>
    <cellStyle name="Normal 5 4 3 2" xfId="1022"/>
    <cellStyle name="Normal 5 4 3 3" xfId="662"/>
    <cellStyle name="Normal 5 4 4" xfId="460"/>
    <cellStyle name="Normal 5 4 4 2" xfId="1199"/>
    <cellStyle name="Normal 5 4 4 3" xfId="820"/>
    <cellStyle name="Normal 5 4 5" xfId="891"/>
    <cellStyle name="Normal 5 4 6" xfId="531"/>
    <cellStyle name="Normal 5 5" xfId="209"/>
    <cellStyle name="Normal 5 5 2" xfId="346"/>
    <cellStyle name="Normal 5 5 2 2" xfId="1076"/>
    <cellStyle name="Normal 5 5 2 3" xfId="716"/>
    <cellStyle name="Normal 5 5 3" xfId="461"/>
    <cellStyle name="Normal 5 5 3 2" xfId="1200"/>
    <cellStyle name="Normal 5 5 3 3" xfId="821"/>
    <cellStyle name="Normal 5 5 4" xfId="945"/>
    <cellStyle name="Normal 5 5 5" xfId="585"/>
    <cellStyle name="Normal 5 6" xfId="179"/>
    <cellStyle name="Normal 5 6 2" xfId="316"/>
    <cellStyle name="Normal 5 6 2 2" xfId="1046"/>
    <cellStyle name="Normal 5 6 2 3" xfId="686"/>
    <cellStyle name="Normal 5 6 3" xfId="915"/>
    <cellStyle name="Normal 5 6 4" xfId="555"/>
    <cellStyle name="Normal 5 7" xfId="251"/>
    <cellStyle name="Normal 5 7 2" xfId="382"/>
    <cellStyle name="Normal 5 7 2 2" xfId="1112"/>
    <cellStyle name="Normal 5 7 2 3" xfId="752"/>
    <cellStyle name="Normal 5 7 3" xfId="981"/>
    <cellStyle name="Normal 5 7 4" xfId="621"/>
    <cellStyle name="Normal 5 8" xfId="272"/>
    <cellStyle name="Normal 5 8 2" xfId="1002"/>
    <cellStyle name="Normal 5 8 3" xfId="642"/>
    <cellStyle name="Normal 5 9" xfId="399"/>
    <cellStyle name="Normal 5 9 2" xfId="1133"/>
    <cellStyle name="Normal 6" xfId="41"/>
    <cellStyle name="Normal 6 10" xfId="518"/>
    <cellStyle name="Normal 6 11" xfId="1248"/>
    <cellStyle name="Normal 6 12" xfId="120"/>
    <cellStyle name="Normal 6 2" xfId="121"/>
    <cellStyle name="Normal 6 2 2" xfId="155"/>
    <cellStyle name="Normal 6 2 2 2" xfId="235"/>
    <cellStyle name="Normal 6 2 2 2 2" xfId="369"/>
    <cellStyle name="Normal 6 2 2 2 2 2" xfId="1099"/>
    <cellStyle name="Normal 6 2 2 2 2 3" xfId="739"/>
    <cellStyle name="Normal 6 2 2 2 3" xfId="462"/>
    <cellStyle name="Normal 6 2 2 2 3 2" xfId="1201"/>
    <cellStyle name="Normal 6 2 2 2 3 3" xfId="822"/>
    <cellStyle name="Normal 6 2 2 2 4" xfId="968"/>
    <cellStyle name="Normal 6 2 2 2 5" xfId="608"/>
    <cellStyle name="Normal 6 2 2 3" xfId="295"/>
    <cellStyle name="Normal 6 2 2 3 2" xfId="1025"/>
    <cellStyle name="Normal 6 2 2 3 3" xfId="665"/>
    <cellStyle name="Normal 6 2 2 4" xfId="463"/>
    <cellStyle name="Normal 6 2 2 4 2" xfId="1202"/>
    <cellStyle name="Normal 6 2 2 4 3" xfId="823"/>
    <cellStyle name="Normal 6 2 2 5" xfId="894"/>
    <cellStyle name="Normal 6 2 2 6" xfId="534"/>
    <cellStyle name="Normal 6 2 3" xfId="217"/>
    <cellStyle name="Normal 6 2 3 2" xfId="354"/>
    <cellStyle name="Normal 6 2 3 2 2" xfId="1084"/>
    <cellStyle name="Normal 6 2 3 2 3" xfId="724"/>
    <cellStyle name="Normal 6 2 3 3" xfId="464"/>
    <cellStyle name="Normal 6 2 3 3 2" xfId="1203"/>
    <cellStyle name="Normal 6 2 3 3 3" xfId="824"/>
    <cellStyle name="Normal 6 2 3 4" xfId="953"/>
    <cellStyle name="Normal 6 2 3 5" xfId="593"/>
    <cellStyle name="Normal 6 2 4" xfId="254"/>
    <cellStyle name="Normal 6 2 4 2" xfId="385"/>
    <cellStyle name="Normal 6 2 4 2 2" xfId="1115"/>
    <cellStyle name="Normal 6 2 4 2 3" xfId="755"/>
    <cellStyle name="Normal 6 2 4 3" xfId="984"/>
    <cellStyle name="Normal 6 2 4 4" xfId="624"/>
    <cellStyle name="Normal 6 2 5" xfId="280"/>
    <cellStyle name="Normal 6 2 5 2" xfId="1010"/>
    <cellStyle name="Normal 6 2 5 3" xfId="650"/>
    <cellStyle name="Normal 6 2 6" xfId="465"/>
    <cellStyle name="Normal 6 2 6 2" xfId="1204"/>
    <cellStyle name="Normal 6 2 6 3" xfId="825"/>
    <cellStyle name="Normal 6 2 7" xfId="879"/>
    <cellStyle name="Normal 6 2 8" xfId="519"/>
    <cellStyle name="Normal 6 2 9" xfId="1249"/>
    <cellStyle name="Normal 6 3" xfId="154"/>
    <cellStyle name="Normal 6 3 2" xfId="234"/>
    <cellStyle name="Normal 6 3 2 2" xfId="368"/>
    <cellStyle name="Normal 6 3 2 2 2" xfId="1098"/>
    <cellStyle name="Normal 6 3 2 2 3" xfId="738"/>
    <cellStyle name="Normal 6 3 2 3" xfId="466"/>
    <cellStyle name="Normal 6 3 2 3 2" xfId="1205"/>
    <cellStyle name="Normal 6 3 2 3 3" xfId="826"/>
    <cellStyle name="Normal 6 3 2 4" xfId="967"/>
    <cellStyle name="Normal 6 3 2 5" xfId="607"/>
    <cellStyle name="Normal 6 3 3" xfId="294"/>
    <cellStyle name="Normal 6 3 3 2" xfId="1024"/>
    <cellStyle name="Normal 6 3 3 3" xfId="664"/>
    <cellStyle name="Normal 6 3 4" xfId="467"/>
    <cellStyle name="Normal 6 3 4 2" xfId="1206"/>
    <cellStyle name="Normal 6 3 4 3" xfId="827"/>
    <cellStyle name="Normal 6 3 5" xfId="893"/>
    <cellStyle name="Normal 6 3 6" xfId="533"/>
    <cellStyle name="Normal 6 4" xfId="216"/>
    <cellStyle name="Normal 6 4 2" xfId="353"/>
    <cellStyle name="Normal 6 4 2 2" xfId="1083"/>
    <cellStyle name="Normal 6 4 2 3" xfId="723"/>
    <cellStyle name="Normal 6 4 3" xfId="468"/>
    <cellStyle name="Normal 6 4 3 2" xfId="1207"/>
    <cellStyle name="Normal 6 4 3 3" xfId="828"/>
    <cellStyle name="Normal 6 4 4" xfId="952"/>
    <cellStyle name="Normal 6 4 5" xfId="592"/>
    <cellStyle name="Normal 6 5" xfId="181"/>
    <cellStyle name="Normal 6 5 2" xfId="318"/>
    <cellStyle name="Normal 6 5 2 2" xfId="1048"/>
    <cellStyle name="Normal 6 5 2 3" xfId="688"/>
    <cellStyle name="Normal 6 5 3" xfId="917"/>
    <cellStyle name="Normal 6 5 4" xfId="557"/>
    <cellStyle name="Normal 6 6" xfId="253"/>
    <cellStyle name="Normal 6 6 2" xfId="384"/>
    <cellStyle name="Normal 6 6 2 2" xfId="1114"/>
    <cellStyle name="Normal 6 6 2 3" xfId="754"/>
    <cellStyle name="Normal 6 6 3" xfId="983"/>
    <cellStyle name="Normal 6 6 4" xfId="623"/>
    <cellStyle name="Normal 6 7" xfId="279"/>
    <cellStyle name="Normal 6 7 2" xfId="1009"/>
    <cellStyle name="Normal 6 7 3" xfId="649"/>
    <cellStyle name="Normal 6 8" xfId="469"/>
    <cellStyle name="Normal 6 8 2" xfId="1208"/>
    <cellStyle name="Normal 6 8 3" xfId="829"/>
    <cellStyle name="Normal 6 9" xfId="878"/>
    <cellStyle name="Normal 7" xfId="43"/>
    <cellStyle name="Normal 7 2" xfId="218"/>
    <cellStyle name="Normal 7 3" xfId="183"/>
    <cellStyle name="Normal 7 3 2" xfId="320"/>
    <cellStyle name="Normal 7 3 2 2" xfId="1050"/>
    <cellStyle name="Normal 7 3 2 3" xfId="690"/>
    <cellStyle name="Normal 7 3 3" xfId="919"/>
    <cellStyle name="Normal 7 3 4" xfId="559"/>
    <cellStyle name="Normal 7 4" xfId="122"/>
    <cellStyle name="Normal 8" xfId="56"/>
    <cellStyle name="Normal 8 2" xfId="219"/>
    <cellStyle name="Normal 8 3" xfId="196"/>
    <cellStyle name="Normal 8 3 2" xfId="333"/>
    <cellStyle name="Normal 8 3 2 2" xfId="1063"/>
    <cellStyle name="Normal 8 3 2 3" xfId="703"/>
    <cellStyle name="Normal 8 3 3" xfId="932"/>
    <cellStyle name="Normal 8 3 4" xfId="572"/>
    <cellStyle name="Normal 8 4" xfId="123"/>
    <cellStyle name="Normal 9" xfId="58"/>
    <cellStyle name="Normal 9 2" xfId="220"/>
    <cellStyle name="Normal 9 3" xfId="198"/>
    <cellStyle name="Normal 9 3 2" xfId="335"/>
    <cellStyle name="Normal 9 3 2 2" xfId="1065"/>
    <cellStyle name="Normal 9 3 2 3" xfId="705"/>
    <cellStyle name="Normal 9 3 3" xfId="934"/>
    <cellStyle name="Normal 9 3 4" xfId="574"/>
    <cellStyle name="Normal 9 4" xfId="124"/>
    <cellStyle name="Normale 3" xfId="125"/>
    <cellStyle name="Pourcentage" xfId="2" builtinId="5"/>
    <cellStyle name="Pourcentage 2" xfId="9"/>
    <cellStyle name="Pourcentage 2 2" xfId="127"/>
    <cellStyle name="Pourcentage 2 3" xfId="126"/>
    <cellStyle name="Pourcentage 2 4" xfId="402"/>
    <cellStyle name="Pourcentage 2 4 2" xfId="1165"/>
    <cellStyle name="Pourcentage 2 4 3" xfId="768"/>
    <cellStyle name="Pourcentage 2 5" xfId="61"/>
    <cellStyle name="Pourcentage 3" xfId="39"/>
    <cellStyle name="Pourcentage 4" xfId="395"/>
    <cellStyle name="Pourcentage 4 2" xfId="1156"/>
    <cellStyle name="Pourcentage 4 3" xfId="765"/>
    <cellStyle name="Pourcentage 5" xfId="6"/>
    <cellStyle name="Salida" xfId="128"/>
    <cellStyle name="Standaard 2" xfId="129"/>
    <cellStyle name="Standaard 2 10" xfId="880"/>
    <cellStyle name="Standaard 2 11" xfId="520"/>
    <cellStyle name="Standaard 2 12" xfId="1250"/>
    <cellStyle name="Standaard 2 2" xfId="130"/>
    <cellStyle name="Standaard 2 3" xfId="131"/>
    <cellStyle name="Standaard 2 3 10" xfId="1251"/>
    <cellStyle name="Standaard 2 3 2" xfId="132"/>
    <cellStyle name="Standaard 2 3 2 2" xfId="158"/>
    <cellStyle name="Standaard 2 3 2 2 2" xfId="238"/>
    <cellStyle name="Standaard 2 3 2 2 2 2" xfId="372"/>
    <cellStyle name="Standaard 2 3 2 2 2 2 2" xfId="1102"/>
    <cellStyle name="Standaard 2 3 2 2 2 2 3" xfId="742"/>
    <cellStyle name="Standaard 2 3 2 2 2 3" xfId="470"/>
    <cellStyle name="Standaard 2 3 2 2 2 3 2" xfId="1209"/>
    <cellStyle name="Standaard 2 3 2 2 2 3 3" xfId="830"/>
    <cellStyle name="Standaard 2 3 2 2 2 4" xfId="971"/>
    <cellStyle name="Standaard 2 3 2 2 2 5" xfId="611"/>
    <cellStyle name="Standaard 2 3 2 2 3" xfId="298"/>
    <cellStyle name="Standaard 2 3 2 2 3 2" xfId="1028"/>
    <cellStyle name="Standaard 2 3 2 2 3 3" xfId="668"/>
    <cellStyle name="Standaard 2 3 2 2 4" xfId="471"/>
    <cellStyle name="Standaard 2 3 2 2 4 2" xfId="1210"/>
    <cellStyle name="Standaard 2 3 2 2 4 3" xfId="831"/>
    <cellStyle name="Standaard 2 3 2 2 5" xfId="897"/>
    <cellStyle name="Standaard 2 3 2 2 6" xfId="537"/>
    <cellStyle name="Standaard 2 3 2 3" xfId="223"/>
    <cellStyle name="Standaard 2 3 2 3 2" xfId="357"/>
    <cellStyle name="Standaard 2 3 2 3 2 2" xfId="1087"/>
    <cellStyle name="Standaard 2 3 2 3 2 3" xfId="727"/>
    <cellStyle name="Standaard 2 3 2 3 3" xfId="472"/>
    <cellStyle name="Standaard 2 3 2 3 3 2" xfId="1211"/>
    <cellStyle name="Standaard 2 3 2 3 3 3" xfId="832"/>
    <cellStyle name="Standaard 2 3 2 3 4" xfId="956"/>
    <cellStyle name="Standaard 2 3 2 3 5" xfId="596"/>
    <cellStyle name="Standaard 2 3 2 4" xfId="257"/>
    <cellStyle name="Standaard 2 3 2 4 2" xfId="388"/>
    <cellStyle name="Standaard 2 3 2 4 2 2" xfId="1118"/>
    <cellStyle name="Standaard 2 3 2 4 2 3" xfId="758"/>
    <cellStyle name="Standaard 2 3 2 4 3" xfId="987"/>
    <cellStyle name="Standaard 2 3 2 4 4" xfId="627"/>
    <cellStyle name="Standaard 2 3 2 5" xfId="283"/>
    <cellStyle name="Standaard 2 3 2 5 2" xfId="1013"/>
    <cellStyle name="Standaard 2 3 2 5 3" xfId="653"/>
    <cellStyle name="Standaard 2 3 2 6" xfId="473"/>
    <cellStyle name="Standaard 2 3 2 6 2" xfId="1212"/>
    <cellStyle name="Standaard 2 3 2 6 3" xfId="833"/>
    <cellStyle name="Standaard 2 3 2 7" xfId="882"/>
    <cellStyle name="Standaard 2 3 2 8" xfId="522"/>
    <cellStyle name="Standaard 2 3 2 9" xfId="1252"/>
    <cellStyle name="Standaard 2 3 3" xfId="157"/>
    <cellStyle name="Standaard 2 3 3 2" xfId="237"/>
    <cellStyle name="Standaard 2 3 3 2 2" xfId="371"/>
    <cellStyle name="Standaard 2 3 3 2 2 2" xfId="1101"/>
    <cellStyle name="Standaard 2 3 3 2 2 3" xfId="741"/>
    <cellStyle name="Standaard 2 3 3 2 3" xfId="474"/>
    <cellStyle name="Standaard 2 3 3 2 3 2" xfId="1213"/>
    <cellStyle name="Standaard 2 3 3 2 3 3" xfId="834"/>
    <cellStyle name="Standaard 2 3 3 2 4" xfId="970"/>
    <cellStyle name="Standaard 2 3 3 2 5" xfId="610"/>
    <cellStyle name="Standaard 2 3 3 3" xfId="297"/>
    <cellStyle name="Standaard 2 3 3 3 2" xfId="1027"/>
    <cellStyle name="Standaard 2 3 3 3 3" xfId="667"/>
    <cellStyle name="Standaard 2 3 3 4" xfId="475"/>
    <cellStyle name="Standaard 2 3 3 4 2" xfId="1214"/>
    <cellStyle name="Standaard 2 3 3 4 3" xfId="835"/>
    <cellStyle name="Standaard 2 3 3 5" xfId="896"/>
    <cellStyle name="Standaard 2 3 3 6" xfId="536"/>
    <cellStyle name="Standaard 2 3 4" xfId="222"/>
    <cellStyle name="Standaard 2 3 4 2" xfId="356"/>
    <cellStyle name="Standaard 2 3 4 2 2" xfId="1086"/>
    <cellStyle name="Standaard 2 3 4 2 3" xfId="726"/>
    <cellStyle name="Standaard 2 3 4 3" xfId="476"/>
    <cellStyle name="Standaard 2 3 4 3 2" xfId="1215"/>
    <cellStyle name="Standaard 2 3 4 3 3" xfId="836"/>
    <cellStyle name="Standaard 2 3 4 4" xfId="955"/>
    <cellStyle name="Standaard 2 3 4 5" xfId="595"/>
    <cellStyle name="Standaard 2 3 5" xfId="256"/>
    <cellStyle name="Standaard 2 3 5 2" xfId="387"/>
    <cellStyle name="Standaard 2 3 5 2 2" xfId="1117"/>
    <cellStyle name="Standaard 2 3 5 2 3" xfId="757"/>
    <cellStyle name="Standaard 2 3 5 3" xfId="986"/>
    <cellStyle name="Standaard 2 3 5 4" xfId="626"/>
    <cellStyle name="Standaard 2 3 6" xfId="282"/>
    <cellStyle name="Standaard 2 3 6 2" xfId="1012"/>
    <cellStyle name="Standaard 2 3 6 3" xfId="652"/>
    <cellStyle name="Standaard 2 3 7" xfId="477"/>
    <cellStyle name="Standaard 2 3 7 2" xfId="1216"/>
    <cellStyle name="Standaard 2 3 7 3" xfId="837"/>
    <cellStyle name="Standaard 2 3 8" xfId="881"/>
    <cellStyle name="Standaard 2 3 9" xfId="521"/>
    <cellStyle name="Standaard 2 4" xfId="133"/>
    <cellStyle name="Standaard 2 4 2" xfId="159"/>
    <cellStyle name="Standaard 2 4 2 2" xfId="239"/>
    <cellStyle name="Standaard 2 4 2 2 2" xfId="373"/>
    <cellStyle name="Standaard 2 4 2 2 2 2" xfId="1103"/>
    <cellStyle name="Standaard 2 4 2 2 2 3" xfId="743"/>
    <cellStyle name="Standaard 2 4 2 2 3" xfId="478"/>
    <cellStyle name="Standaard 2 4 2 2 3 2" xfId="1217"/>
    <cellStyle name="Standaard 2 4 2 2 3 3" xfId="838"/>
    <cellStyle name="Standaard 2 4 2 2 4" xfId="972"/>
    <cellStyle name="Standaard 2 4 2 2 5" xfId="612"/>
    <cellStyle name="Standaard 2 4 2 3" xfId="299"/>
    <cellStyle name="Standaard 2 4 2 3 2" xfId="1029"/>
    <cellStyle name="Standaard 2 4 2 3 3" xfId="669"/>
    <cellStyle name="Standaard 2 4 2 4" xfId="479"/>
    <cellStyle name="Standaard 2 4 2 4 2" xfId="1218"/>
    <cellStyle name="Standaard 2 4 2 4 3" xfId="839"/>
    <cellStyle name="Standaard 2 4 2 5" xfId="898"/>
    <cellStyle name="Standaard 2 4 2 6" xfId="538"/>
    <cellStyle name="Standaard 2 4 3" xfId="224"/>
    <cellStyle name="Standaard 2 4 3 2" xfId="358"/>
    <cellStyle name="Standaard 2 4 3 2 2" xfId="1088"/>
    <cellStyle name="Standaard 2 4 3 2 3" xfId="728"/>
    <cellStyle name="Standaard 2 4 3 3" xfId="480"/>
    <cellStyle name="Standaard 2 4 3 3 2" xfId="1219"/>
    <cellStyle name="Standaard 2 4 3 3 3" xfId="840"/>
    <cellStyle name="Standaard 2 4 3 4" xfId="957"/>
    <cellStyle name="Standaard 2 4 3 5" xfId="597"/>
    <cellStyle name="Standaard 2 4 4" xfId="258"/>
    <cellStyle name="Standaard 2 4 4 2" xfId="389"/>
    <cellStyle name="Standaard 2 4 4 2 2" xfId="1119"/>
    <cellStyle name="Standaard 2 4 4 2 3" xfId="759"/>
    <cellStyle name="Standaard 2 4 4 3" xfId="988"/>
    <cellStyle name="Standaard 2 4 4 4" xfId="628"/>
    <cellStyle name="Standaard 2 4 5" xfId="284"/>
    <cellStyle name="Standaard 2 4 5 2" xfId="1014"/>
    <cellStyle name="Standaard 2 4 5 3" xfId="654"/>
    <cellStyle name="Standaard 2 4 6" xfId="481"/>
    <cellStyle name="Standaard 2 4 6 2" xfId="1220"/>
    <cellStyle name="Standaard 2 4 6 3" xfId="841"/>
    <cellStyle name="Standaard 2 4 7" xfId="883"/>
    <cellStyle name="Standaard 2 4 8" xfId="523"/>
    <cellStyle name="Standaard 2 4 9" xfId="1253"/>
    <cellStyle name="Standaard 2 5" xfId="156"/>
    <cellStyle name="Standaard 2 5 2" xfId="236"/>
    <cellStyle name="Standaard 2 5 2 2" xfId="370"/>
    <cellStyle name="Standaard 2 5 2 2 2" xfId="1100"/>
    <cellStyle name="Standaard 2 5 2 2 3" xfId="740"/>
    <cellStyle name="Standaard 2 5 2 3" xfId="482"/>
    <cellStyle name="Standaard 2 5 2 3 2" xfId="1221"/>
    <cellStyle name="Standaard 2 5 2 3 3" xfId="842"/>
    <cellStyle name="Standaard 2 5 2 4" xfId="969"/>
    <cellStyle name="Standaard 2 5 2 5" xfId="609"/>
    <cellStyle name="Standaard 2 5 3" xfId="296"/>
    <cellStyle name="Standaard 2 5 3 2" xfId="1026"/>
    <cellStyle name="Standaard 2 5 3 3" xfId="666"/>
    <cellStyle name="Standaard 2 5 4" xfId="483"/>
    <cellStyle name="Standaard 2 5 4 2" xfId="1222"/>
    <cellStyle name="Standaard 2 5 4 3" xfId="843"/>
    <cellStyle name="Standaard 2 5 5" xfId="895"/>
    <cellStyle name="Standaard 2 5 6" xfId="535"/>
    <cellStyle name="Standaard 2 6" xfId="221"/>
    <cellStyle name="Standaard 2 6 2" xfId="355"/>
    <cellStyle name="Standaard 2 6 2 2" xfId="1085"/>
    <cellStyle name="Standaard 2 6 2 3" xfId="725"/>
    <cellStyle name="Standaard 2 6 3" xfId="484"/>
    <cellStyle name="Standaard 2 6 3 2" xfId="1223"/>
    <cellStyle name="Standaard 2 6 3 3" xfId="844"/>
    <cellStyle name="Standaard 2 6 4" xfId="954"/>
    <cellStyle name="Standaard 2 6 5" xfId="594"/>
    <cellStyle name="Standaard 2 7" xfId="255"/>
    <cellStyle name="Standaard 2 7 2" xfId="386"/>
    <cellStyle name="Standaard 2 7 2 2" xfId="1116"/>
    <cellStyle name="Standaard 2 7 2 3" xfId="756"/>
    <cellStyle name="Standaard 2 7 3" xfId="985"/>
    <cellStyle name="Standaard 2 7 4" xfId="625"/>
    <cellStyle name="Standaard 2 8" xfId="281"/>
    <cellStyle name="Standaard 2 8 2" xfId="1011"/>
    <cellStyle name="Standaard 2 8 3" xfId="651"/>
    <cellStyle name="Standaard 2 9" xfId="485"/>
    <cellStyle name="Standaard 2 9 2" xfId="1224"/>
    <cellStyle name="Standaard 2 9 3" xfId="845"/>
    <cellStyle name="Standaard 3" xfId="134"/>
    <cellStyle name="Standaard 4" xfId="135"/>
    <cellStyle name="Standaard 4 10" xfId="524"/>
    <cellStyle name="Standaard 4 11" xfId="1254"/>
    <cellStyle name="Standaard 4 2" xfId="136"/>
    <cellStyle name="Standaard 4 2 10" xfId="1255"/>
    <cellStyle name="Standaard 4 2 2" xfId="137"/>
    <cellStyle name="Standaard 4 2 2 2" xfId="162"/>
    <cellStyle name="Standaard 4 2 2 2 2" xfId="242"/>
    <cellStyle name="Standaard 4 2 2 2 2 2" xfId="376"/>
    <cellStyle name="Standaard 4 2 2 2 2 2 2" xfId="1106"/>
    <cellStyle name="Standaard 4 2 2 2 2 2 3" xfId="746"/>
    <cellStyle name="Standaard 4 2 2 2 2 3" xfId="486"/>
    <cellStyle name="Standaard 4 2 2 2 2 3 2" xfId="1225"/>
    <cellStyle name="Standaard 4 2 2 2 2 3 3" xfId="846"/>
    <cellStyle name="Standaard 4 2 2 2 2 4" xfId="975"/>
    <cellStyle name="Standaard 4 2 2 2 2 5" xfId="615"/>
    <cellStyle name="Standaard 4 2 2 2 3" xfId="302"/>
    <cellStyle name="Standaard 4 2 2 2 3 2" xfId="1032"/>
    <cellStyle name="Standaard 4 2 2 2 3 3" xfId="672"/>
    <cellStyle name="Standaard 4 2 2 2 4" xfId="487"/>
    <cellStyle name="Standaard 4 2 2 2 4 2" xfId="1226"/>
    <cellStyle name="Standaard 4 2 2 2 4 3" xfId="847"/>
    <cellStyle name="Standaard 4 2 2 2 5" xfId="901"/>
    <cellStyle name="Standaard 4 2 2 2 6" xfId="541"/>
    <cellStyle name="Standaard 4 2 2 3" xfId="227"/>
    <cellStyle name="Standaard 4 2 2 3 2" xfId="361"/>
    <cellStyle name="Standaard 4 2 2 3 2 2" xfId="1091"/>
    <cellStyle name="Standaard 4 2 2 3 2 3" xfId="731"/>
    <cellStyle name="Standaard 4 2 2 3 3" xfId="488"/>
    <cellStyle name="Standaard 4 2 2 3 3 2" xfId="1227"/>
    <cellStyle name="Standaard 4 2 2 3 3 3" xfId="848"/>
    <cellStyle name="Standaard 4 2 2 3 4" xfId="960"/>
    <cellStyle name="Standaard 4 2 2 3 5" xfId="600"/>
    <cellStyle name="Standaard 4 2 2 4" xfId="261"/>
    <cellStyle name="Standaard 4 2 2 4 2" xfId="392"/>
    <cellStyle name="Standaard 4 2 2 4 2 2" xfId="1122"/>
    <cellStyle name="Standaard 4 2 2 4 2 3" xfId="762"/>
    <cellStyle name="Standaard 4 2 2 4 3" xfId="991"/>
    <cellStyle name="Standaard 4 2 2 4 4" xfId="631"/>
    <cellStyle name="Standaard 4 2 2 5" xfId="287"/>
    <cellStyle name="Standaard 4 2 2 5 2" xfId="1017"/>
    <cellStyle name="Standaard 4 2 2 5 3" xfId="657"/>
    <cellStyle name="Standaard 4 2 2 6" xfId="489"/>
    <cellStyle name="Standaard 4 2 2 6 2" xfId="1228"/>
    <cellStyle name="Standaard 4 2 2 6 3" xfId="849"/>
    <cellStyle name="Standaard 4 2 2 7" xfId="886"/>
    <cellStyle name="Standaard 4 2 2 8" xfId="526"/>
    <cellStyle name="Standaard 4 2 2 9" xfId="1256"/>
    <cellStyle name="Standaard 4 2 3" xfId="161"/>
    <cellStyle name="Standaard 4 2 3 2" xfId="241"/>
    <cellStyle name="Standaard 4 2 3 2 2" xfId="375"/>
    <cellStyle name="Standaard 4 2 3 2 2 2" xfId="1105"/>
    <cellStyle name="Standaard 4 2 3 2 2 3" xfId="745"/>
    <cellStyle name="Standaard 4 2 3 2 3" xfId="490"/>
    <cellStyle name="Standaard 4 2 3 2 3 2" xfId="1229"/>
    <cellStyle name="Standaard 4 2 3 2 3 3" xfId="850"/>
    <cellStyle name="Standaard 4 2 3 2 4" xfId="974"/>
    <cellStyle name="Standaard 4 2 3 2 5" xfId="614"/>
    <cellStyle name="Standaard 4 2 3 3" xfId="301"/>
    <cellStyle name="Standaard 4 2 3 3 2" xfId="1031"/>
    <cellStyle name="Standaard 4 2 3 3 3" xfId="671"/>
    <cellStyle name="Standaard 4 2 3 4" xfId="491"/>
    <cellStyle name="Standaard 4 2 3 4 2" xfId="1230"/>
    <cellStyle name="Standaard 4 2 3 4 3" xfId="851"/>
    <cellStyle name="Standaard 4 2 3 5" xfId="900"/>
    <cellStyle name="Standaard 4 2 3 6" xfId="540"/>
    <cellStyle name="Standaard 4 2 4" xfId="226"/>
    <cellStyle name="Standaard 4 2 4 2" xfId="360"/>
    <cellStyle name="Standaard 4 2 4 2 2" xfId="1090"/>
    <cellStyle name="Standaard 4 2 4 2 3" xfId="730"/>
    <cellStyle name="Standaard 4 2 4 3" xfId="492"/>
    <cellStyle name="Standaard 4 2 4 3 2" xfId="1231"/>
    <cellStyle name="Standaard 4 2 4 3 3" xfId="852"/>
    <cellStyle name="Standaard 4 2 4 4" xfId="959"/>
    <cellStyle name="Standaard 4 2 4 5" xfId="599"/>
    <cellStyle name="Standaard 4 2 5" xfId="260"/>
    <cellStyle name="Standaard 4 2 5 2" xfId="391"/>
    <cellStyle name="Standaard 4 2 5 2 2" xfId="1121"/>
    <cellStyle name="Standaard 4 2 5 2 3" xfId="761"/>
    <cellStyle name="Standaard 4 2 5 3" xfId="990"/>
    <cellStyle name="Standaard 4 2 5 4" xfId="630"/>
    <cellStyle name="Standaard 4 2 6" xfId="286"/>
    <cellStyle name="Standaard 4 2 6 2" xfId="1016"/>
    <cellStyle name="Standaard 4 2 6 3" xfId="656"/>
    <cellStyle name="Standaard 4 2 7" xfId="493"/>
    <cellStyle name="Standaard 4 2 7 2" xfId="1232"/>
    <cellStyle name="Standaard 4 2 7 3" xfId="853"/>
    <cellStyle name="Standaard 4 2 8" xfId="885"/>
    <cellStyle name="Standaard 4 2 9" xfId="525"/>
    <cellStyle name="Standaard 4 3" xfId="138"/>
    <cellStyle name="Standaard 4 3 2" xfId="163"/>
    <cellStyle name="Standaard 4 3 2 2" xfId="243"/>
    <cellStyle name="Standaard 4 3 2 2 2" xfId="377"/>
    <cellStyle name="Standaard 4 3 2 2 2 2" xfId="1107"/>
    <cellStyle name="Standaard 4 3 2 2 2 3" xfId="747"/>
    <cellStyle name="Standaard 4 3 2 2 3" xfId="494"/>
    <cellStyle name="Standaard 4 3 2 2 3 2" xfId="1233"/>
    <cellStyle name="Standaard 4 3 2 2 3 3" xfId="854"/>
    <cellStyle name="Standaard 4 3 2 2 4" xfId="976"/>
    <cellStyle name="Standaard 4 3 2 2 5" xfId="616"/>
    <cellStyle name="Standaard 4 3 2 3" xfId="303"/>
    <cellStyle name="Standaard 4 3 2 3 2" xfId="1033"/>
    <cellStyle name="Standaard 4 3 2 3 3" xfId="673"/>
    <cellStyle name="Standaard 4 3 2 4" xfId="495"/>
    <cellStyle name="Standaard 4 3 2 4 2" xfId="1234"/>
    <cellStyle name="Standaard 4 3 2 4 3" xfId="855"/>
    <cellStyle name="Standaard 4 3 2 5" xfId="902"/>
    <cellStyle name="Standaard 4 3 2 6" xfId="542"/>
    <cellStyle name="Standaard 4 3 3" xfId="228"/>
    <cellStyle name="Standaard 4 3 3 2" xfId="362"/>
    <cellStyle name="Standaard 4 3 3 2 2" xfId="1092"/>
    <cellStyle name="Standaard 4 3 3 2 3" xfId="732"/>
    <cellStyle name="Standaard 4 3 3 3" xfId="496"/>
    <cellStyle name="Standaard 4 3 3 3 2" xfId="1235"/>
    <cellStyle name="Standaard 4 3 3 3 3" xfId="856"/>
    <cellStyle name="Standaard 4 3 3 4" xfId="961"/>
    <cellStyle name="Standaard 4 3 3 5" xfId="601"/>
    <cellStyle name="Standaard 4 3 4" xfId="262"/>
    <cellStyle name="Standaard 4 3 4 2" xfId="393"/>
    <cellStyle name="Standaard 4 3 4 2 2" xfId="1123"/>
    <cellStyle name="Standaard 4 3 4 2 3" xfId="763"/>
    <cellStyle name="Standaard 4 3 4 3" xfId="992"/>
    <cellStyle name="Standaard 4 3 4 4" xfId="632"/>
    <cellStyle name="Standaard 4 3 5" xfId="288"/>
    <cellStyle name="Standaard 4 3 5 2" xfId="1018"/>
    <cellStyle name="Standaard 4 3 5 3" xfId="658"/>
    <cellStyle name="Standaard 4 3 6" xfId="497"/>
    <cellStyle name="Standaard 4 3 6 2" xfId="1236"/>
    <cellStyle name="Standaard 4 3 6 3" xfId="857"/>
    <cellStyle name="Standaard 4 3 7" xfId="887"/>
    <cellStyle name="Standaard 4 3 8" xfId="527"/>
    <cellStyle name="Standaard 4 3 9" xfId="1257"/>
    <cellStyle name="Standaard 4 4" xfId="160"/>
    <cellStyle name="Standaard 4 4 2" xfId="240"/>
    <cellStyle name="Standaard 4 4 2 2" xfId="374"/>
    <cellStyle name="Standaard 4 4 2 2 2" xfId="1104"/>
    <cellStyle name="Standaard 4 4 2 2 3" xfId="744"/>
    <cellStyle name="Standaard 4 4 2 3" xfId="498"/>
    <cellStyle name="Standaard 4 4 2 3 2" xfId="1237"/>
    <cellStyle name="Standaard 4 4 2 3 3" xfId="858"/>
    <cellStyle name="Standaard 4 4 2 4" xfId="973"/>
    <cellStyle name="Standaard 4 4 2 5" xfId="613"/>
    <cellStyle name="Standaard 4 4 3" xfId="300"/>
    <cellStyle name="Standaard 4 4 3 2" xfId="1030"/>
    <cellStyle name="Standaard 4 4 3 3" xfId="670"/>
    <cellStyle name="Standaard 4 4 4" xfId="499"/>
    <cellStyle name="Standaard 4 4 4 2" xfId="1238"/>
    <cellStyle name="Standaard 4 4 4 3" xfId="859"/>
    <cellStyle name="Standaard 4 4 5" xfId="899"/>
    <cellStyle name="Standaard 4 4 6" xfId="539"/>
    <cellStyle name="Standaard 4 5" xfId="225"/>
    <cellStyle name="Standaard 4 5 2" xfId="359"/>
    <cellStyle name="Standaard 4 5 2 2" xfId="1089"/>
    <cellStyle name="Standaard 4 5 2 3" xfId="729"/>
    <cellStyle name="Standaard 4 5 3" xfId="500"/>
    <cellStyle name="Standaard 4 5 3 2" xfId="1239"/>
    <cellStyle name="Standaard 4 5 3 3" xfId="860"/>
    <cellStyle name="Standaard 4 5 4" xfId="958"/>
    <cellStyle name="Standaard 4 5 5" xfId="598"/>
    <cellStyle name="Standaard 4 6" xfId="259"/>
    <cellStyle name="Standaard 4 6 2" xfId="390"/>
    <cellStyle name="Standaard 4 6 2 2" xfId="1120"/>
    <cellStyle name="Standaard 4 6 2 3" xfId="760"/>
    <cellStyle name="Standaard 4 6 3" xfId="989"/>
    <cellStyle name="Standaard 4 6 4" xfId="629"/>
    <cellStyle name="Standaard 4 7" xfId="285"/>
    <cellStyle name="Standaard 4 7 2" xfId="1015"/>
    <cellStyle name="Standaard 4 7 3" xfId="655"/>
    <cellStyle name="Standaard 4 8" xfId="501"/>
    <cellStyle name="Standaard 4 8 2" xfId="1240"/>
    <cellStyle name="Standaard 4 8 3" xfId="861"/>
    <cellStyle name="Standaard 4 9" xfId="884"/>
    <cellStyle name="Standaard_Programma Interdomo GmbHVJB" xfId="139"/>
    <cellStyle name="Standard_Standardkalkulation" xfId="140"/>
    <cellStyle name="Texte explicatif 2" xfId="141"/>
    <cellStyle name="Titre 2" xfId="142"/>
    <cellStyle name="Titre 1 2" xfId="143"/>
    <cellStyle name="Titre 2 2" xfId="144"/>
    <cellStyle name="Titre 3 2" xfId="145"/>
    <cellStyle name="Total 2" xfId="146"/>
    <cellStyle name="Valuta [0]_Programma Interdomo GmbHVJB" xfId="147"/>
    <cellStyle name="Valuta_Programma Interdomo GmbHVJB" xfId="148"/>
  </cellStyles>
  <dxfs count="14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502800282118311E-2"/>
          <c:y val="4.2596391073061013E-2"/>
          <c:w val="0.90710463191654567"/>
          <c:h val="0.79513263336380557"/>
        </c:manualLayout>
      </c:layout>
      <c:bar3DChart>
        <c:barDir val="col"/>
        <c:grouping val="stacked"/>
        <c:varyColors val="0"/>
        <c:ser>
          <c:idx val="0"/>
          <c:order val="0"/>
          <c:tx>
            <c:v>Chauffage</c:v>
          </c:tx>
          <c:spPr>
            <a:solidFill>
              <a:srgbClr val="CCFFCC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'calculs réno'!$B$132:$B$143</c:f>
              <c:strCache>
                <c:ptCount val="12"/>
                <c:pt idx="0">
                  <c:v>Installation
actuelle</c:v>
                </c:pt>
                <c:pt idx="1">
                  <c:v>Tout
électrique</c:v>
                </c:pt>
                <c:pt idx="2">
                  <c:v>PAC
Air/Eau</c:v>
                </c:pt>
                <c:pt idx="3">
                  <c:v>PAC
Sol-Eau/Eau</c:v>
                </c:pt>
                <c:pt idx="4">
                  <c:v>Bois
bûches</c:v>
                </c:pt>
                <c:pt idx="5">
                  <c:v>Bois
granulés</c:v>
                </c:pt>
                <c:pt idx="6">
                  <c:v>Gaz
Condensation</c:v>
                </c:pt>
                <c:pt idx="7">
                  <c:v>Gaz</c:v>
                </c:pt>
                <c:pt idx="8">
                  <c:v>Fioul
condensation</c:v>
                </c:pt>
                <c:pt idx="9">
                  <c:v>Fioul</c:v>
                </c:pt>
                <c:pt idx="10">
                  <c:v>Propane
condensation</c:v>
                </c:pt>
                <c:pt idx="11">
                  <c:v>Propane</c:v>
                </c:pt>
              </c:strCache>
            </c:strRef>
          </c:cat>
          <c:val>
            <c:numRef>
              <c:f>'calculs réno'!$L$132:$L$143</c:f>
              <c:numCache>
                <c:formatCode>General</c:formatCode>
                <c:ptCount val="12"/>
                <c:pt idx="0" formatCode="0">
                  <c:v>2924.5309090909086</c:v>
                </c:pt>
                <c:pt idx="1">
                  <c:v>4180.8186666666661</c:v>
                </c:pt>
                <c:pt idx="2">
                  <c:v>1200.1939047619048</c:v>
                </c:pt>
                <c:pt idx="3">
                  <c:v>1056.0346666666667</c:v>
                </c:pt>
                <c:pt idx="4">
                  <c:v>1135.8117647058823</c:v>
                </c:pt>
                <c:pt idx="5">
                  <c:v>1880.8501960784313</c:v>
                </c:pt>
                <c:pt idx="6">
                  <c:v>2041.6623139653409</c:v>
                </c:pt>
                <c:pt idx="7">
                  <c:v>2349.8141099163681</c:v>
                </c:pt>
                <c:pt idx="8">
                  <c:v>2474.603076923077</c:v>
                </c:pt>
                <c:pt idx="9">
                  <c:v>2767.2980645161292</c:v>
                </c:pt>
                <c:pt idx="10">
                  <c:v>3815.3570093457943</c:v>
                </c:pt>
                <c:pt idx="11">
                  <c:v>4389.7118279569895</c:v>
                </c:pt>
              </c:numCache>
            </c:numRef>
          </c:val>
        </c:ser>
        <c:ser>
          <c:idx val="1"/>
          <c:order val="1"/>
          <c:tx>
            <c:v>ECS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'calculs réno'!$B$132:$B$143</c:f>
              <c:strCache>
                <c:ptCount val="12"/>
                <c:pt idx="0">
                  <c:v>Installation
actuelle</c:v>
                </c:pt>
                <c:pt idx="1">
                  <c:v>Tout
électrique</c:v>
                </c:pt>
                <c:pt idx="2">
                  <c:v>PAC
Air/Eau</c:v>
                </c:pt>
                <c:pt idx="3">
                  <c:v>PAC
Sol-Eau/Eau</c:v>
                </c:pt>
                <c:pt idx="4">
                  <c:v>Bois
bûches</c:v>
                </c:pt>
                <c:pt idx="5">
                  <c:v>Bois
granulés</c:v>
                </c:pt>
                <c:pt idx="6">
                  <c:v>Gaz
Condensation</c:v>
                </c:pt>
                <c:pt idx="7">
                  <c:v>Gaz</c:v>
                </c:pt>
                <c:pt idx="8">
                  <c:v>Fioul
condensation</c:v>
                </c:pt>
                <c:pt idx="9">
                  <c:v>Fioul</c:v>
                </c:pt>
                <c:pt idx="10">
                  <c:v>Propane
condensation</c:v>
                </c:pt>
                <c:pt idx="11">
                  <c:v>Propane</c:v>
                </c:pt>
              </c:strCache>
            </c:strRef>
          </c:cat>
          <c:val>
            <c:numRef>
              <c:f>'calculs réno'!$K$132:$K$143</c:f>
              <c:numCache>
                <c:formatCode>0</c:formatCode>
                <c:ptCount val="12"/>
                <c:pt idx="0">
                  <c:v>404.05261363636362</c:v>
                </c:pt>
                <c:pt idx="1">
                  <c:v>468.75300000000004</c:v>
                </c:pt>
                <c:pt idx="2">
                  <c:v>468.75300000000004</c:v>
                </c:pt>
                <c:pt idx="3">
                  <c:v>468.75300000000004</c:v>
                </c:pt>
                <c:pt idx="4">
                  <c:v>156.92352941176472</c:v>
                </c:pt>
                <c:pt idx="5">
                  <c:v>259.85789215686276</c:v>
                </c:pt>
                <c:pt idx="6">
                  <c:v>247.46248725790008</c:v>
                </c:pt>
                <c:pt idx="7">
                  <c:v>290.03667861409792</c:v>
                </c:pt>
                <c:pt idx="8">
                  <c:v>341.89067307692306</c:v>
                </c:pt>
                <c:pt idx="9">
                  <c:v>382.32935483870972</c:v>
                </c:pt>
                <c:pt idx="10">
                  <c:v>527.12897196261679</c:v>
                </c:pt>
                <c:pt idx="11">
                  <c:v>606.48172043010754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8978176"/>
        <c:axId val="68980096"/>
        <c:axId val="0"/>
      </c:bar3DChart>
      <c:catAx>
        <c:axId val="689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9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9800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Coût annuel en €</a:t>
                </a:r>
              </a:p>
            </c:rich>
          </c:tx>
          <c:layout>
            <c:manualLayout>
              <c:xMode val="edge"/>
              <c:yMode val="edge"/>
              <c:x val="2.0947176684881604E-2"/>
              <c:y val="6.288032454361054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97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63401109057301E-2"/>
          <c:y val="4.2510121457489877E-2"/>
          <c:w val="0.90573012939001851"/>
          <c:h val="0.79554655870445345"/>
        </c:manualLayout>
      </c:layout>
      <c:bar3DChart>
        <c:barDir val="col"/>
        <c:grouping val="stacked"/>
        <c:varyColors val="0"/>
        <c:ser>
          <c:idx val="0"/>
          <c:order val="0"/>
          <c:tx>
            <c:v>Chauffage</c:v>
          </c:tx>
          <c:spPr>
            <a:solidFill>
              <a:srgbClr val="CCFFCC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'calculs neuf'!$B$132:$B$142</c:f>
              <c:strCache>
                <c:ptCount val="11"/>
                <c:pt idx="0">
                  <c:v>Tout
électrique</c:v>
                </c:pt>
                <c:pt idx="1">
                  <c:v>PAC
Air/Eau</c:v>
                </c:pt>
                <c:pt idx="2">
                  <c:v>PAC
Sol-Eau/Eau</c:v>
                </c:pt>
                <c:pt idx="3">
                  <c:v>Bois
bûches</c:v>
                </c:pt>
                <c:pt idx="4">
                  <c:v>Bois
granulés</c:v>
                </c:pt>
                <c:pt idx="5">
                  <c:v>Gaz
Condensation</c:v>
                </c:pt>
                <c:pt idx="6">
                  <c:v>Gaz</c:v>
                </c:pt>
                <c:pt idx="7">
                  <c:v>Fioul
condensation</c:v>
                </c:pt>
                <c:pt idx="8">
                  <c:v>Fioul</c:v>
                </c:pt>
                <c:pt idx="9">
                  <c:v>Propane
condensation</c:v>
                </c:pt>
                <c:pt idx="10">
                  <c:v>Propane</c:v>
                </c:pt>
              </c:strCache>
            </c:strRef>
          </c:cat>
          <c:val>
            <c:numRef>
              <c:f>'calculs neuf'!$L$132:$L$142</c:f>
              <c:numCache>
                <c:formatCode>0</c:formatCode>
                <c:ptCount val="11"/>
                <c:pt idx="0">
                  <c:v>2887.887666666667</c:v>
                </c:pt>
                <c:pt idx="1">
                  <c:v>869.47647619047621</c:v>
                </c:pt>
                <c:pt idx="2">
                  <c:v>745.55191666666678</c:v>
                </c:pt>
                <c:pt idx="3">
                  <c:v>786.34705882352944</c:v>
                </c:pt>
                <c:pt idx="4">
                  <c:v>1302.1532843137256</c:v>
                </c:pt>
                <c:pt idx="5">
                  <c:v>1490.5696534148826</c:v>
                </c:pt>
                <c:pt idx="6">
                  <c:v>1703.9098088410992</c:v>
                </c:pt>
                <c:pt idx="7">
                  <c:v>1713.2212500000001</c:v>
                </c:pt>
                <c:pt idx="8">
                  <c:v>1915.8603225806448</c:v>
                </c:pt>
                <c:pt idx="9">
                  <c:v>2641.4542056074761</c:v>
                </c:pt>
                <c:pt idx="10">
                  <c:v>3039.0924731182795</c:v>
                </c:pt>
              </c:numCache>
            </c:numRef>
          </c:val>
        </c:ser>
        <c:ser>
          <c:idx val="1"/>
          <c:order val="1"/>
          <c:tx>
            <c:v>ECS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'calculs neuf'!$B$132:$B$142</c:f>
              <c:strCache>
                <c:ptCount val="11"/>
                <c:pt idx="0">
                  <c:v>Tout
électrique</c:v>
                </c:pt>
                <c:pt idx="1">
                  <c:v>PAC
Air/Eau</c:v>
                </c:pt>
                <c:pt idx="2">
                  <c:v>PAC
Sol-Eau/Eau</c:v>
                </c:pt>
                <c:pt idx="3">
                  <c:v>Bois
bûches</c:v>
                </c:pt>
                <c:pt idx="4">
                  <c:v>Bois
granulés</c:v>
                </c:pt>
                <c:pt idx="5">
                  <c:v>Gaz
Condensation</c:v>
                </c:pt>
                <c:pt idx="6">
                  <c:v>Gaz</c:v>
                </c:pt>
                <c:pt idx="7">
                  <c:v>Fioul
condensation</c:v>
                </c:pt>
                <c:pt idx="8">
                  <c:v>Fioul</c:v>
                </c:pt>
                <c:pt idx="9">
                  <c:v>Propane
condensation</c:v>
                </c:pt>
                <c:pt idx="10">
                  <c:v>Propane</c:v>
                </c:pt>
              </c:strCache>
            </c:strRef>
          </c:cat>
          <c:val>
            <c:numRef>
              <c:f>'calculs neuf'!$K$132:$K$142</c:f>
              <c:numCache>
                <c:formatCode>0</c:formatCode>
                <c:ptCount val="11"/>
                <c:pt idx="0">
                  <c:v>468.75300000000004</c:v>
                </c:pt>
                <c:pt idx="1">
                  <c:v>468.75300000000004</c:v>
                </c:pt>
                <c:pt idx="2">
                  <c:v>468.75300000000004</c:v>
                </c:pt>
                <c:pt idx="3">
                  <c:v>156.92352941176472</c:v>
                </c:pt>
                <c:pt idx="4">
                  <c:v>259.85789215686276</c:v>
                </c:pt>
                <c:pt idx="5">
                  <c:v>247.46248725790008</c:v>
                </c:pt>
                <c:pt idx="6">
                  <c:v>290.03667861409792</c:v>
                </c:pt>
                <c:pt idx="7">
                  <c:v>341.89067307692306</c:v>
                </c:pt>
                <c:pt idx="8">
                  <c:v>382.32935483870972</c:v>
                </c:pt>
                <c:pt idx="9">
                  <c:v>527.12897196261679</c:v>
                </c:pt>
                <c:pt idx="10">
                  <c:v>606.48172043010754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964352"/>
        <c:axId val="132965888"/>
        <c:axId val="0"/>
      </c:bar3DChart>
      <c:catAx>
        <c:axId val="1329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Coût annuel en €</a:t>
                </a:r>
              </a:p>
            </c:rich>
          </c:tx>
          <c:layout>
            <c:manualLayout>
              <c:xMode val="edge"/>
              <c:yMode val="edge"/>
              <c:x val="3.6044362292051754E-2"/>
              <c:y val="6.47773279352226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6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Chauffage</c:v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'calculs réno'!$B$132:$B$143</c:f>
              <c:strCache>
                <c:ptCount val="12"/>
                <c:pt idx="0">
                  <c:v>Installation
actuelle</c:v>
                </c:pt>
                <c:pt idx="1">
                  <c:v>Tout
électrique</c:v>
                </c:pt>
                <c:pt idx="2">
                  <c:v>PAC
Air/Eau</c:v>
                </c:pt>
                <c:pt idx="3">
                  <c:v>PAC
Sol-Eau/Eau</c:v>
                </c:pt>
                <c:pt idx="4">
                  <c:v>Bois
bûches</c:v>
                </c:pt>
                <c:pt idx="5">
                  <c:v>Bois
granulés</c:v>
                </c:pt>
                <c:pt idx="6">
                  <c:v>Gaz
Condensation</c:v>
                </c:pt>
                <c:pt idx="7">
                  <c:v>Gaz</c:v>
                </c:pt>
                <c:pt idx="8">
                  <c:v>Fioul
condensation</c:v>
                </c:pt>
                <c:pt idx="9">
                  <c:v>Fioul</c:v>
                </c:pt>
                <c:pt idx="10">
                  <c:v>Propane
condensation</c:v>
                </c:pt>
                <c:pt idx="11">
                  <c:v>Propane</c:v>
                </c:pt>
              </c:strCache>
            </c:strRef>
          </c:cat>
          <c:val>
            <c:numRef>
              <c:f>'Coûts Energies'!#REF!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ECS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'calculs réno'!$B$132:$B$143</c:f>
              <c:strCache>
                <c:ptCount val="12"/>
                <c:pt idx="0">
                  <c:v>Installation
actuelle</c:v>
                </c:pt>
                <c:pt idx="1">
                  <c:v>Tout
électrique</c:v>
                </c:pt>
                <c:pt idx="2">
                  <c:v>PAC
Air/Eau</c:v>
                </c:pt>
                <c:pt idx="3">
                  <c:v>PAC
Sol-Eau/Eau</c:v>
                </c:pt>
                <c:pt idx="4">
                  <c:v>Bois
bûches</c:v>
                </c:pt>
                <c:pt idx="5">
                  <c:v>Bois
granulés</c:v>
                </c:pt>
                <c:pt idx="6">
                  <c:v>Gaz
Condensation</c:v>
                </c:pt>
                <c:pt idx="7">
                  <c:v>Gaz</c:v>
                </c:pt>
                <c:pt idx="8">
                  <c:v>Fioul
condensation</c:v>
                </c:pt>
                <c:pt idx="9">
                  <c:v>Fioul</c:v>
                </c:pt>
                <c:pt idx="10">
                  <c:v>Propane
condensation</c:v>
                </c:pt>
                <c:pt idx="11">
                  <c:v>Propane</c:v>
                </c:pt>
              </c:strCache>
            </c:strRef>
          </c:cat>
          <c:val>
            <c:numRef>
              <c:f>'Coûts Energies'!#REF!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6822528"/>
        <c:axId val="168628992"/>
        <c:axId val="0"/>
      </c:bar3DChart>
      <c:catAx>
        <c:axId val="1568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86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2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Coût annuel en 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82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67</xdr:row>
      <xdr:rowOff>28575</xdr:rowOff>
    </xdr:from>
    <xdr:to>
      <xdr:col>8</xdr:col>
      <xdr:colOff>1419225</xdr:colOff>
      <xdr:row>96</xdr:row>
      <xdr:rowOff>0</xdr:rowOff>
    </xdr:to>
    <xdr:graphicFrame macro="">
      <xdr:nvGraphicFramePr>
        <xdr:cNvPr id="415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104775</xdr:rowOff>
    </xdr:from>
    <xdr:to>
      <xdr:col>3</xdr:col>
      <xdr:colOff>1123950</xdr:colOff>
      <xdr:row>2</xdr:row>
      <xdr:rowOff>171450</xdr:rowOff>
    </xdr:to>
    <xdr:pic>
      <xdr:nvPicPr>
        <xdr:cNvPr id="415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4775"/>
          <a:ext cx="284797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60</xdr:row>
      <xdr:rowOff>28575</xdr:rowOff>
    </xdr:from>
    <xdr:to>
      <xdr:col>8</xdr:col>
      <xdr:colOff>1419225</xdr:colOff>
      <xdr:row>89</xdr:row>
      <xdr:rowOff>9525</xdr:rowOff>
    </xdr:to>
    <xdr:graphicFrame macro="">
      <xdr:nvGraphicFramePr>
        <xdr:cNvPr id="1240" name="Graphique 1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114300</xdr:rowOff>
    </xdr:from>
    <xdr:to>
      <xdr:col>3</xdr:col>
      <xdr:colOff>1247775</xdr:colOff>
      <xdr:row>3</xdr:row>
      <xdr:rowOff>28575</xdr:rowOff>
    </xdr:to>
    <xdr:pic>
      <xdr:nvPicPr>
        <xdr:cNvPr id="1241" name="Picture 2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305752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63</xdr:row>
      <xdr:rowOff>0</xdr:rowOff>
    </xdr:from>
    <xdr:to>
      <xdr:col>8</xdr:col>
      <xdr:colOff>1419225</xdr:colOff>
      <xdr:row>63</xdr:row>
      <xdr:rowOff>0</xdr:rowOff>
    </xdr:to>
    <xdr:graphicFrame macro="">
      <xdr:nvGraphicFramePr>
        <xdr:cNvPr id="616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0</xdr:row>
      <xdr:rowOff>161925</xdr:rowOff>
    </xdr:from>
    <xdr:to>
      <xdr:col>3</xdr:col>
      <xdr:colOff>1362075</xdr:colOff>
      <xdr:row>3</xdr:row>
      <xdr:rowOff>76200</xdr:rowOff>
    </xdr:to>
    <xdr:pic>
      <xdr:nvPicPr>
        <xdr:cNvPr id="61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305752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55"/>
  <sheetViews>
    <sheetView showGridLines="0" showRowColHeaders="0" tabSelected="1" zoomScale="75" zoomScaleNormal="75" workbookViewId="0">
      <selection activeCell="D11" sqref="D11:J11"/>
    </sheetView>
  </sheetViews>
  <sheetFormatPr baseColWidth="10" defaultRowHeight="12.75" x14ac:dyDescent="0.2"/>
  <cols>
    <col min="1" max="1" width="2.42578125" style="2" customWidth="1"/>
    <col min="2" max="2" width="2.85546875" style="2" customWidth="1"/>
    <col min="3" max="3" width="25.28515625" style="2" customWidth="1"/>
    <col min="4" max="6" width="21.7109375" style="8" customWidth="1"/>
    <col min="7" max="7" width="21.7109375" style="2" customWidth="1"/>
    <col min="8" max="8" width="24" style="8" customWidth="1"/>
    <col min="9" max="9" width="21.7109375" style="11" customWidth="1"/>
    <col min="10" max="10" width="2.7109375" style="11" customWidth="1"/>
    <col min="11" max="11" width="10.42578125" style="33" customWidth="1"/>
    <col min="12" max="12" width="8.85546875" style="33" customWidth="1"/>
    <col min="13" max="13" width="19.5703125" style="33" customWidth="1"/>
    <col min="14" max="14" width="6.140625" style="1" customWidth="1"/>
    <col min="15" max="73" width="11.42578125" style="1"/>
    <col min="74" max="16384" width="11.42578125" style="2"/>
  </cols>
  <sheetData>
    <row r="1" spans="1:75" s="17" customFormat="1" ht="15" customHeight="1" x14ac:dyDescent="0.2">
      <c r="A1" s="74"/>
      <c r="B1" s="74"/>
      <c r="C1" s="74"/>
      <c r="D1" s="74"/>
      <c r="E1" s="74"/>
      <c r="F1" s="74"/>
      <c r="G1" s="95"/>
      <c r="H1" s="86"/>
      <c r="I1" s="86"/>
      <c r="J1" s="86"/>
      <c r="K1" s="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75" s="17" customFormat="1" ht="25.5" x14ac:dyDescent="0.2">
      <c r="A2" s="74"/>
      <c r="B2" s="74"/>
      <c r="C2" s="74"/>
      <c r="D2" s="140" t="s">
        <v>272</v>
      </c>
      <c r="E2" s="140"/>
      <c r="F2" s="140"/>
      <c r="G2" s="140"/>
      <c r="H2" s="140"/>
      <c r="I2" s="140"/>
      <c r="J2" s="140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75" s="17" customFormat="1" ht="15" customHeight="1" x14ac:dyDescent="0.3">
      <c r="A3" s="74"/>
      <c r="B3" s="74"/>
      <c r="C3" s="74"/>
      <c r="D3" s="74"/>
      <c r="E3" s="74"/>
      <c r="F3" s="74"/>
      <c r="G3" s="96"/>
      <c r="H3" s="86"/>
      <c r="I3" s="86"/>
      <c r="J3" s="86"/>
      <c r="K3" s="7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5" s="17" customFormat="1" ht="6.75" customHeight="1" x14ac:dyDescent="0.3">
      <c r="A4" s="74"/>
      <c r="B4" s="74"/>
      <c r="C4" s="74"/>
      <c r="D4" s="74"/>
      <c r="E4" s="74"/>
      <c r="F4" s="74"/>
      <c r="G4" s="96"/>
      <c r="H4" s="86"/>
      <c r="I4" s="86"/>
      <c r="J4" s="86"/>
      <c r="K4" s="7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5" s="18" customFormat="1" ht="12" customHeight="1" x14ac:dyDescent="0.2">
      <c r="A5" s="80"/>
      <c r="B5" s="80"/>
      <c r="C5" s="80"/>
      <c r="D5" s="80"/>
      <c r="E5" s="80"/>
      <c r="F5" s="80"/>
      <c r="G5" s="80"/>
      <c r="H5" s="87"/>
      <c r="I5" s="156"/>
      <c r="J5" s="157" t="s">
        <v>346</v>
      </c>
      <c r="K5" s="127"/>
      <c r="L5" s="7"/>
      <c r="M5" s="14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75" ht="3" customHeight="1" x14ac:dyDescent="0.2">
      <c r="A6" s="74"/>
      <c r="B6" s="74"/>
      <c r="C6" s="74"/>
      <c r="D6" s="74"/>
      <c r="E6" s="74"/>
      <c r="F6" s="74"/>
      <c r="G6" s="74"/>
      <c r="H6" s="86"/>
      <c r="I6" s="73"/>
      <c r="J6" s="158"/>
      <c r="K6" s="74"/>
      <c r="L6" s="1"/>
      <c r="M6" s="1"/>
    </row>
    <row r="7" spans="1:75" s="16" customFormat="1" ht="18.75" x14ac:dyDescent="0.3">
      <c r="A7" s="85"/>
      <c r="B7" s="85"/>
      <c r="C7" s="121" t="s">
        <v>0</v>
      </c>
      <c r="D7" s="97"/>
      <c r="E7" s="97"/>
      <c r="F7" s="97"/>
      <c r="G7" s="85"/>
      <c r="H7" s="98"/>
      <c r="I7" s="159">
        <f ca="1">TODAY()</f>
        <v>43479</v>
      </c>
      <c r="J7" s="159"/>
      <c r="K7" s="85"/>
      <c r="L7" s="15"/>
      <c r="M7" s="145"/>
      <c r="N7" s="14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</row>
    <row r="8" spans="1:75" ht="2.25" customHeight="1" x14ac:dyDescent="0.2">
      <c r="A8" s="74"/>
      <c r="B8" s="74"/>
      <c r="C8" s="99"/>
      <c r="D8" s="99"/>
      <c r="E8" s="99"/>
      <c r="F8" s="99"/>
      <c r="G8" s="99"/>
      <c r="H8" s="100"/>
      <c r="I8" s="100"/>
      <c r="J8" s="100"/>
      <c r="K8" s="74"/>
      <c r="L8" s="1"/>
      <c r="M8" s="1"/>
    </row>
    <row r="9" spans="1:75" ht="11.25" customHeight="1" x14ac:dyDescent="0.2">
      <c r="A9" s="74"/>
      <c r="B9" s="74"/>
      <c r="C9" s="74"/>
      <c r="D9" s="86"/>
      <c r="E9" s="86"/>
      <c r="F9" s="86"/>
      <c r="G9" s="74"/>
      <c r="H9" s="86"/>
      <c r="I9" s="86"/>
      <c r="J9" s="86"/>
      <c r="K9" s="74"/>
      <c r="L9" s="1"/>
      <c r="M9" s="1"/>
    </row>
    <row r="10" spans="1:75" ht="13.5" customHeight="1" x14ac:dyDescent="0.2">
      <c r="A10" s="1"/>
      <c r="B10" s="1"/>
      <c r="H10" s="11"/>
      <c r="K10" s="1"/>
      <c r="L10" s="1"/>
      <c r="M10" s="1"/>
    </row>
    <row r="11" spans="1:75" ht="15" x14ac:dyDescent="0.2">
      <c r="A11" s="1"/>
      <c r="B11" s="1"/>
      <c r="C11" s="122" t="s">
        <v>1</v>
      </c>
      <c r="D11" s="141"/>
      <c r="E11" s="142"/>
      <c r="F11" s="142"/>
      <c r="G11" s="143"/>
      <c r="H11" s="143"/>
      <c r="I11" s="143"/>
      <c r="J11" s="144"/>
      <c r="K11" s="5"/>
      <c r="L11" s="5"/>
      <c r="M11" s="5"/>
      <c r="N11" s="7"/>
    </row>
    <row r="12" spans="1:75" ht="15" x14ac:dyDescent="0.2">
      <c r="A12" s="1"/>
      <c r="B12" s="1"/>
      <c r="C12" s="3"/>
      <c r="D12" s="141"/>
      <c r="E12" s="142"/>
      <c r="F12" s="142"/>
      <c r="G12" s="143"/>
      <c r="H12" s="143"/>
      <c r="I12" s="143"/>
      <c r="J12" s="144"/>
      <c r="K12" s="5"/>
      <c r="L12" s="5"/>
      <c r="M12" s="5"/>
      <c r="N12" s="7"/>
    </row>
    <row r="13" spans="1:75" ht="15" x14ac:dyDescent="0.2">
      <c r="A13" s="1"/>
      <c r="B13" s="1"/>
      <c r="C13" s="5"/>
      <c r="D13" s="141"/>
      <c r="E13" s="142"/>
      <c r="F13" s="142"/>
      <c r="G13" s="143"/>
      <c r="H13" s="143"/>
      <c r="I13" s="143"/>
      <c r="J13" s="144"/>
      <c r="K13" s="5"/>
      <c r="L13" s="5"/>
      <c r="M13" s="5"/>
      <c r="N13" s="7"/>
    </row>
    <row r="14" spans="1:75" ht="9" customHeight="1" x14ac:dyDescent="0.2">
      <c r="A14" s="1"/>
      <c r="B14" s="1"/>
      <c r="G14" s="4"/>
      <c r="H14" s="12"/>
      <c r="I14" s="9"/>
      <c r="J14" s="12"/>
      <c r="K14" s="5"/>
      <c r="L14" s="5"/>
      <c r="M14" s="5"/>
      <c r="N14" s="5"/>
    </row>
    <row r="15" spans="1:75" ht="9" customHeight="1" x14ac:dyDescent="0.2">
      <c r="A15" s="1"/>
      <c r="B15" s="1"/>
      <c r="G15" s="4"/>
      <c r="H15" s="12"/>
      <c r="I15" s="9"/>
      <c r="J15" s="12"/>
      <c r="K15" s="5"/>
      <c r="L15" s="5"/>
      <c r="M15" s="5"/>
      <c r="N15" s="5"/>
    </row>
    <row r="16" spans="1:75" ht="18.75" x14ac:dyDescent="0.3">
      <c r="A16" s="78"/>
      <c r="B16" s="6"/>
      <c r="C16" s="120" t="s">
        <v>185</v>
      </c>
      <c r="D16" s="10"/>
      <c r="E16" s="10"/>
      <c r="F16" s="10"/>
      <c r="H16" s="11"/>
      <c r="I16" s="13"/>
      <c r="J16" s="9"/>
      <c r="K16" s="7"/>
      <c r="L16" s="7"/>
      <c r="M16" s="7"/>
      <c r="BV16" s="1"/>
      <c r="BW16" s="1"/>
    </row>
    <row r="17" spans="1:75" ht="3" customHeight="1" x14ac:dyDescent="0.2">
      <c r="A17" s="6"/>
      <c r="B17" s="101"/>
      <c r="C17" s="99"/>
      <c r="D17" s="99"/>
      <c r="E17" s="99"/>
      <c r="F17" s="99"/>
      <c r="G17" s="99"/>
      <c r="H17" s="100"/>
      <c r="I17" s="100"/>
      <c r="J17" s="100"/>
      <c r="K17" s="8"/>
      <c r="L17" s="7"/>
      <c r="M17" s="7"/>
      <c r="BV17" s="1"/>
      <c r="BW17" s="1"/>
    </row>
    <row r="18" spans="1:75" ht="9" customHeight="1" x14ac:dyDescent="0.2">
      <c r="A18" s="1"/>
      <c r="I18" s="9"/>
      <c r="J18" s="9"/>
      <c r="K18" s="20"/>
      <c r="L18" s="20"/>
      <c r="M18" s="20"/>
      <c r="BV18" s="1"/>
      <c r="BW18" s="1"/>
    </row>
    <row r="19" spans="1:75" ht="18" customHeight="1" x14ac:dyDescent="0.25">
      <c r="A19" s="1"/>
      <c r="C19" s="21" t="s">
        <v>3</v>
      </c>
      <c r="E19" s="21" t="s">
        <v>4</v>
      </c>
      <c r="G19" s="21" t="s">
        <v>160</v>
      </c>
      <c r="J19" s="9"/>
      <c r="K19" s="20"/>
      <c r="L19" s="20"/>
      <c r="M19" s="20"/>
      <c r="BV19" s="1"/>
      <c r="BW19" s="1"/>
    </row>
    <row r="20" spans="1:75" s="22" customFormat="1" ht="18" x14ac:dyDescent="0.25">
      <c r="A20" s="27"/>
      <c r="C20" s="106" t="s">
        <v>184</v>
      </c>
      <c r="D20" s="23"/>
      <c r="E20" s="106" t="s">
        <v>161</v>
      </c>
      <c r="G20" s="107">
        <f>'calculs réno'!C114</f>
        <v>-10</v>
      </c>
      <c r="H20" s="24"/>
      <c r="J20" s="25"/>
      <c r="K20" s="26"/>
      <c r="L20" s="26"/>
      <c r="M20" s="26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</row>
    <row r="21" spans="1:75" ht="18" customHeight="1" x14ac:dyDescent="0.2">
      <c r="A21" s="1"/>
      <c r="C21" s="28"/>
      <c r="D21" s="29"/>
      <c r="E21" s="29"/>
      <c r="F21" s="29"/>
      <c r="I21" s="9"/>
      <c r="J21" s="9"/>
      <c r="K21" s="20"/>
      <c r="L21" s="30"/>
      <c r="M21" s="20"/>
      <c r="BV21" s="1"/>
      <c r="BW21" s="1"/>
    </row>
    <row r="22" spans="1:75" ht="18.75" x14ac:dyDescent="0.3">
      <c r="A22" s="78"/>
      <c r="B22" s="6"/>
      <c r="C22" s="120" t="s">
        <v>186</v>
      </c>
      <c r="D22" s="10"/>
      <c r="E22" s="10"/>
      <c r="F22" s="10"/>
      <c r="H22" s="11"/>
      <c r="I22" s="13"/>
      <c r="J22" s="9"/>
      <c r="K22" s="7"/>
      <c r="L22" s="7"/>
      <c r="M22" s="7"/>
      <c r="BV22" s="1"/>
      <c r="BW22" s="1"/>
    </row>
    <row r="23" spans="1:75" ht="3" customHeight="1" x14ac:dyDescent="0.2">
      <c r="A23" s="6"/>
      <c r="B23" s="101"/>
      <c r="C23" s="99"/>
      <c r="D23" s="99"/>
      <c r="E23" s="99"/>
      <c r="F23" s="99"/>
      <c r="G23" s="99"/>
      <c r="H23" s="100"/>
      <c r="I23" s="100"/>
      <c r="J23" s="100"/>
      <c r="K23" s="8"/>
      <c r="L23" s="7"/>
      <c r="M23" s="7"/>
      <c r="BV23" s="1"/>
      <c r="BW23" s="1"/>
    </row>
    <row r="24" spans="1:75" ht="9" customHeight="1" x14ac:dyDescent="0.2">
      <c r="A24" s="1"/>
      <c r="I24" s="9"/>
      <c r="J24" s="9"/>
      <c r="K24" s="20"/>
      <c r="L24" s="20"/>
      <c r="M24" s="20"/>
      <c r="BV24" s="1"/>
      <c r="BW24" s="1"/>
    </row>
    <row r="25" spans="1:75" ht="18" customHeight="1" x14ac:dyDescent="0.25">
      <c r="A25" s="1"/>
      <c r="C25" s="21" t="s">
        <v>152</v>
      </c>
      <c r="D25" s="29"/>
      <c r="E25" s="21" t="s">
        <v>215</v>
      </c>
      <c r="F25" s="21"/>
      <c r="G25" s="21" t="s">
        <v>265</v>
      </c>
      <c r="L25" s="30"/>
      <c r="M25" s="20"/>
      <c r="BV25" s="1"/>
      <c r="BW25" s="1"/>
    </row>
    <row r="26" spans="1:75" ht="18" customHeight="1" x14ac:dyDescent="0.25">
      <c r="A26" s="1"/>
      <c r="C26" s="106">
        <v>150</v>
      </c>
      <c r="D26" s="29"/>
      <c r="E26" s="106">
        <v>2.5</v>
      </c>
      <c r="G26" s="110">
        <v>3500</v>
      </c>
      <c r="H26" s="47" t="s">
        <v>245</v>
      </c>
      <c r="L26" s="30"/>
      <c r="M26" s="20"/>
      <c r="BV26" s="1"/>
      <c r="BW26" s="1"/>
    </row>
    <row r="27" spans="1:75" ht="18" customHeight="1" x14ac:dyDescent="0.25">
      <c r="A27" s="1"/>
      <c r="C27" s="21"/>
      <c r="D27" s="29"/>
      <c r="G27" s="111">
        <v>0</v>
      </c>
      <c r="H27" s="47" t="s">
        <v>246</v>
      </c>
      <c r="I27" s="9"/>
      <c r="L27" s="30"/>
      <c r="M27" s="20"/>
    </row>
    <row r="28" spans="1:75" ht="18" customHeight="1" x14ac:dyDescent="0.25">
      <c r="A28" s="1"/>
      <c r="C28" s="21" t="s">
        <v>268</v>
      </c>
      <c r="D28" s="29"/>
      <c r="E28" s="21" t="s">
        <v>250</v>
      </c>
      <c r="G28" s="111">
        <v>0</v>
      </c>
      <c r="H28" s="47" t="s">
        <v>247</v>
      </c>
      <c r="I28" s="9"/>
      <c r="L28" s="30"/>
      <c r="M28" s="20"/>
    </row>
    <row r="29" spans="1:75" ht="18" customHeight="1" x14ac:dyDescent="0.25">
      <c r="A29" s="1"/>
      <c r="C29" s="106" t="s">
        <v>176</v>
      </c>
      <c r="D29" s="29"/>
      <c r="E29" s="106" t="s">
        <v>279</v>
      </c>
      <c r="G29" s="112">
        <v>0</v>
      </c>
      <c r="H29" s="47" t="s">
        <v>248</v>
      </c>
      <c r="I29" s="9"/>
      <c r="L29" s="30"/>
      <c r="M29" s="20"/>
    </row>
    <row r="30" spans="1:75" ht="11.25" customHeight="1" x14ac:dyDescent="0.2">
      <c r="A30" s="1"/>
      <c r="D30" s="29"/>
      <c r="H30" s="2"/>
      <c r="I30" s="9"/>
      <c r="J30" s="9"/>
      <c r="K30" s="20"/>
      <c r="L30" s="30"/>
      <c r="M30" s="20"/>
    </row>
    <row r="31" spans="1:75" ht="18" customHeight="1" x14ac:dyDescent="0.25">
      <c r="A31" s="1"/>
      <c r="C31" s="21" t="s">
        <v>175</v>
      </c>
      <c r="D31" s="2"/>
      <c r="E31" s="21" t="s">
        <v>192</v>
      </c>
      <c r="G31" s="21" t="s">
        <v>257</v>
      </c>
    </row>
    <row r="32" spans="1:75" ht="18" customHeight="1" x14ac:dyDescent="0.25">
      <c r="A32" s="1"/>
      <c r="C32" s="106">
        <v>4</v>
      </c>
      <c r="D32" s="29"/>
      <c r="E32" s="106" t="s">
        <v>333</v>
      </c>
      <c r="G32" s="106" t="s">
        <v>262</v>
      </c>
    </row>
    <row r="33" spans="1:13" ht="11.25" customHeight="1" x14ac:dyDescent="0.25">
      <c r="A33" s="1"/>
      <c r="D33" s="29"/>
      <c r="E33" s="21"/>
      <c r="I33" s="9"/>
      <c r="J33" s="9"/>
      <c r="K33" s="20"/>
      <c r="L33" s="30"/>
      <c r="M33" s="20"/>
    </row>
    <row r="34" spans="1:13" ht="18" customHeight="1" x14ac:dyDescent="0.25">
      <c r="A34" s="1"/>
      <c r="C34" s="21" t="s">
        <v>315</v>
      </c>
      <c r="I34" s="9"/>
      <c r="J34" s="9"/>
      <c r="K34" s="20"/>
      <c r="L34" s="30"/>
      <c r="M34" s="20"/>
    </row>
    <row r="35" spans="1:13" ht="18" customHeight="1" x14ac:dyDescent="0.25">
      <c r="A35" s="1"/>
      <c r="C35" s="106">
        <v>20</v>
      </c>
      <c r="I35" s="9"/>
      <c r="J35" s="9"/>
      <c r="K35" s="20"/>
      <c r="L35" s="30"/>
      <c r="M35" s="20"/>
    </row>
    <row r="36" spans="1:13" ht="11.25" customHeight="1" x14ac:dyDescent="0.25">
      <c r="A36" s="1"/>
      <c r="C36" s="21"/>
      <c r="D36" s="29"/>
      <c r="E36" s="21"/>
      <c r="I36" s="9"/>
      <c r="J36" s="9"/>
      <c r="K36" s="20"/>
      <c r="L36" s="30"/>
      <c r="M36" s="20"/>
    </row>
    <row r="37" spans="1:13" ht="18" customHeight="1" x14ac:dyDescent="0.25">
      <c r="A37" s="1"/>
      <c r="C37" s="21" t="s">
        <v>344</v>
      </c>
      <c r="E37" s="21" t="s">
        <v>345</v>
      </c>
      <c r="I37" s="21" t="s">
        <v>159</v>
      </c>
      <c r="J37" s="9"/>
      <c r="K37" s="20"/>
      <c r="L37" s="30"/>
      <c r="M37" s="20"/>
    </row>
    <row r="38" spans="1:13" ht="18" customHeight="1" x14ac:dyDescent="0.25">
      <c r="A38" s="1"/>
      <c r="C38" s="108">
        <f>'calculs réno'!H118</f>
        <v>1.27</v>
      </c>
      <c r="E38" s="109">
        <v>1.3</v>
      </c>
      <c r="I38" s="107">
        <f>'calculs réno'!C118</f>
        <v>14.6</v>
      </c>
      <c r="J38" s="9"/>
      <c r="K38" s="20"/>
      <c r="L38" s="30"/>
      <c r="M38" s="20"/>
    </row>
    <row r="39" spans="1:13" ht="12.75" customHeight="1" x14ac:dyDescent="0.25">
      <c r="A39" s="1"/>
      <c r="C39" s="21"/>
      <c r="D39" s="29"/>
      <c r="E39" s="21"/>
      <c r="I39" s="9"/>
      <c r="J39" s="9"/>
      <c r="K39" s="20"/>
      <c r="L39" s="30"/>
      <c r="M39" s="20"/>
    </row>
    <row r="40" spans="1:13" ht="18" customHeight="1" x14ac:dyDescent="0.25">
      <c r="A40" s="1"/>
      <c r="C40" s="21" t="s">
        <v>266</v>
      </c>
      <c r="D40" s="29"/>
      <c r="E40" s="21" t="s">
        <v>335</v>
      </c>
      <c r="G40" s="21" t="s">
        <v>336</v>
      </c>
      <c r="J40" s="9"/>
      <c r="K40" s="20"/>
      <c r="L40" s="30"/>
      <c r="M40" s="20"/>
    </row>
    <row r="41" spans="1:13" ht="18" customHeight="1" x14ac:dyDescent="0.25">
      <c r="A41" s="1"/>
      <c r="C41" s="107">
        <f>'calculs réno'!C121</f>
        <v>3811</v>
      </c>
      <c r="D41" s="29"/>
      <c r="E41" s="107">
        <f>'calculs réno'!C119</f>
        <v>27584</v>
      </c>
      <c r="G41" s="107">
        <f>'calculs réno'!C122</f>
        <v>31395</v>
      </c>
      <c r="J41" s="9"/>
      <c r="K41" s="20"/>
      <c r="L41" s="30"/>
      <c r="M41" s="20"/>
    </row>
    <row r="42" spans="1:13" ht="18" customHeight="1" x14ac:dyDescent="0.25">
      <c r="A42" s="1"/>
      <c r="C42" s="21"/>
      <c r="D42" s="29"/>
      <c r="E42" s="29"/>
      <c r="F42" s="29"/>
      <c r="G42" s="15"/>
      <c r="I42" s="9"/>
      <c r="J42" s="9"/>
      <c r="K42" s="20"/>
      <c r="L42" s="30"/>
      <c r="M42" s="20"/>
    </row>
    <row r="43" spans="1:13" ht="18" customHeight="1" x14ac:dyDescent="0.3">
      <c r="A43" s="1"/>
      <c r="C43" s="120" t="s">
        <v>317</v>
      </c>
      <c r="D43" s="29"/>
      <c r="E43" s="29"/>
      <c r="F43" s="29"/>
      <c r="G43" s="15"/>
      <c r="I43" s="9"/>
      <c r="J43" s="9"/>
      <c r="K43" s="20"/>
      <c r="L43" s="30"/>
      <c r="M43" s="20"/>
    </row>
    <row r="44" spans="1:13" ht="3" customHeight="1" x14ac:dyDescent="0.25">
      <c r="A44" s="1"/>
      <c r="B44" s="99"/>
      <c r="C44" s="102"/>
      <c r="D44" s="103"/>
      <c r="E44" s="103"/>
      <c r="F44" s="103"/>
      <c r="G44" s="104"/>
      <c r="H44" s="100"/>
      <c r="I44" s="105"/>
      <c r="J44" s="105"/>
      <c r="K44" s="20"/>
      <c r="L44" s="30"/>
      <c r="M44" s="20"/>
    </row>
    <row r="45" spans="1:13" ht="9" customHeight="1" x14ac:dyDescent="0.25">
      <c r="A45" s="1"/>
      <c r="C45" s="21"/>
      <c r="D45" s="29"/>
      <c r="E45" s="29"/>
      <c r="F45" s="29"/>
      <c r="G45" s="15"/>
      <c r="I45" s="9"/>
      <c r="J45" s="9"/>
      <c r="K45" s="20"/>
      <c r="L45" s="30"/>
      <c r="M45" s="20"/>
    </row>
    <row r="46" spans="1:13" ht="18" customHeight="1" x14ac:dyDescent="0.25">
      <c r="A46" s="1"/>
      <c r="C46" s="21" t="s">
        <v>330</v>
      </c>
      <c r="E46" s="21" t="s">
        <v>318</v>
      </c>
      <c r="F46" s="29"/>
      <c r="G46" s="21" t="s">
        <v>319</v>
      </c>
      <c r="I46" s="9"/>
      <c r="J46" s="9"/>
      <c r="K46" s="20"/>
      <c r="L46" s="30"/>
      <c r="M46" s="20"/>
    </row>
    <row r="47" spans="1:13" ht="18" customHeight="1" x14ac:dyDescent="0.25">
      <c r="A47" s="1"/>
      <c r="C47" s="106" t="s">
        <v>325</v>
      </c>
      <c r="E47" s="106">
        <v>60</v>
      </c>
      <c r="F47" s="29"/>
      <c r="G47" s="106">
        <v>20</v>
      </c>
      <c r="I47" s="9"/>
      <c r="J47" s="9"/>
      <c r="K47" s="20"/>
      <c r="L47" s="30"/>
      <c r="M47" s="20"/>
    </row>
    <row r="48" spans="1:13" ht="18" customHeight="1" x14ac:dyDescent="0.25">
      <c r="A48" s="1"/>
      <c r="C48" s="21"/>
      <c r="D48" s="29"/>
      <c r="E48" s="29"/>
      <c r="F48" s="29"/>
      <c r="G48" s="15"/>
      <c r="I48" s="9"/>
      <c r="J48" s="9"/>
      <c r="K48" s="20"/>
      <c r="L48" s="30"/>
      <c r="M48" s="20"/>
    </row>
    <row r="49" spans="1:75" ht="18.75" x14ac:dyDescent="0.3">
      <c r="A49" s="78"/>
      <c r="B49" s="6"/>
      <c r="C49" s="120" t="s">
        <v>174</v>
      </c>
      <c r="D49" s="10"/>
      <c r="E49" s="10"/>
      <c r="F49" s="10"/>
      <c r="H49" s="11"/>
      <c r="I49" s="13"/>
      <c r="J49" s="9"/>
      <c r="K49" s="7"/>
      <c r="L49" s="7"/>
      <c r="M49" s="7"/>
      <c r="BV49" s="1"/>
      <c r="BW49" s="1"/>
    </row>
    <row r="50" spans="1:75" ht="3" customHeight="1" x14ac:dyDescent="0.2">
      <c r="A50" s="6"/>
      <c r="B50" s="101"/>
      <c r="C50" s="99"/>
      <c r="D50" s="99"/>
      <c r="E50" s="99"/>
      <c r="F50" s="99"/>
      <c r="G50" s="99"/>
      <c r="H50" s="100"/>
      <c r="I50" s="100"/>
      <c r="J50" s="100"/>
      <c r="K50" s="8"/>
      <c r="L50" s="7"/>
      <c r="M50" s="7"/>
      <c r="BV50" s="1"/>
      <c r="BW50" s="1"/>
    </row>
    <row r="51" spans="1:75" ht="9" customHeight="1" x14ac:dyDescent="0.25">
      <c r="A51" s="1"/>
      <c r="C51" s="21"/>
      <c r="D51" s="29"/>
      <c r="E51" s="29"/>
      <c r="F51" s="29"/>
      <c r="G51" s="15"/>
      <c r="I51" s="9"/>
      <c r="J51" s="9"/>
      <c r="K51" s="20"/>
      <c r="L51" s="30"/>
      <c r="M51" s="20"/>
    </row>
    <row r="52" spans="1:75" ht="18" customHeight="1" x14ac:dyDescent="0.25">
      <c r="A52" s="1"/>
      <c r="C52" s="48" t="s">
        <v>218</v>
      </c>
      <c r="D52" s="29"/>
      <c r="E52" s="29"/>
      <c r="F52" s="29"/>
      <c r="G52" s="21"/>
      <c r="J52" s="9"/>
      <c r="K52" s="20"/>
      <c r="L52" s="30"/>
      <c r="M52" s="20"/>
    </row>
    <row r="53" spans="1:75" ht="15" x14ac:dyDescent="0.2">
      <c r="A53" s="1"/>
      <c r="C53" s="16"/>
      <c r="D53" s="29"/>
      <c r="E53" s="15"/>
      <c r="F53" s="15"/>
      <c r="J53" s="9"/>
      <c r="K53" s="20"/>
      <c r="L53" s="30"/>
      <c r="M53" s="20"/>
    </row>
    <row r="54" spans="1:75" s="52" customFormat="1" ht="49.5" customHeight="1" x14ac:dyDescent="0.2">
      <c r="A54" s="56"/>
      <c r="C54" s="132" t="s">
        <v>209</v>
      </c>
      <c r="D54" s="133" t="s">
        <v>229</v>
      </c>
      <c r="E54" s="133" t="s">
        <v>235</v>
      </c>
      <c r="F54" s="133" t="s">
        <v>297</v>
      </c>
      <c r="G54" s="133" t="s">
        <v>329</v>
      </c>
      <c r="H54" s="133" t="s">
        <v>321</v>
      </c>
      <c r="I54" s="133" t="s">
        <v>322</v>
      </c>
      <c r="J54" s="53"/>
      <c r="K54" s="54"/>
      <c r="L54" s="55"/>
      <c r="M54" s="5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</row>
    <row r="55" spans="1:75" s="52" customFormat="1" ht="15.75" customHeight="1" x14ac:dyDescent="0.25">
      <c r="A55" s="56"/>
      <c r="C55" s="113" t="s">
        <v>256</v>
      </c>
      <c r="D55" s="114">
        <f>'calculs réno'!I109</f>
        <v>0.88</v>
      </c>
      <c r="E55" s="115">
        <f>'calculs réno'!E132</f>
        <v>404.05261363636362</v>
      </c>
      <c r="F55" s="115">
        <f>'calculs réno'!F132</f>
        <v>2924.5309090909086</v>
      </c>
      <c r="G55" s="115">
        <f>'calculs réno'!G132</f>
        <v>3328.5835227272723</v>
      </c>
      <c r="H55" s="116">
        <f>'calculs réno'!H132</f>
        <v>3086.1519545454539</v>
      </c>
      <c r="I55" s="116">
        <f>'calculs réno'!I132</f>
        <v>2501.2457727272722</v>
      </c>
      <c r="J55" s="53"/>
      <c r="K55" s="54"/>
      <c r="L55" s="55"/>
      <c r="M55" s="54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</row>
    <row r="56" spans="1:75" ht="15" x14ac:dyDescent="0.2">
      <c r="A56" s="1"/>
      <c r="C56" s="117" t="s">
        <v>208</v>
      </c>
      <c r="D56" s="118">
        <v>1</v>
      </c>
      <c r="E56" s="116">
        <f>'calculs réno'!E133</f>
        <v>468.75300000000004</v>
      </c>
      <c r="F56" s="116">
        <f>'calculs réno'!F133</f>
        <v>4180.8186666666661</v>
      </c>
      <c r="G56" s="116">
        <f>'calculs réno'!G133</f>
        <v>4649.5716666666658</v>
      </c>
      <c r="H56" s="116">
        <f>'calculs réno'!H133</f>
        <v>4368.3198666666658</v>
      </c>
      <c r="I56" s="116">
        <f>'calculs réno'!I133</f>
        <v>3561.0281333333332</v>
      </c>
      <c r="J56" s="9"/>
      <c r="K56" s="20"/>
      <c r="L56" s="30"/>
      <c r="M56" s="20"/>
    </row>
    <row r="57" spans="1:75" ht="15" x14ac:dyDescent="0.2">
      <c r="A57" s="1"/>
      <c r="C57" s="117" t="s">
        <v>341</v>
      </c>
      <c r="D57" s="119" t="s">
        <v>339</v>
      </c>
      <c r="E57" s="116">
        <f>'calculs réno'!E134</f>
        <v>468.75300000000004</v>
      </c>
      <c r="F57" s="116">
        <f>'calculs réno'!F134</f>
        <v>1200.1939047619048</v>
      </c>
      <c r="G57" s="116">
        <f>'calculs réno'!G134</f>
        <v>1668.946904761905</v>
      </c>
      <c r="H57" s="116">
        <f>'calculs réno'!H134</f>
        <v>1387.695104761905</v>
      </c>
      <c r="I57" s="116">
        <f>'calculs réno'!I134</f>
        <v>1157.0403238095241</v>
      </c>
      <c r="J57" s="9"/>
      <c r="K57" s="20"/>
      <c r="L57" s="30"/>
      <c r="M57" s="20"/>
    </row>
    <row r="58" spans="1:75" ht="15" x14ac:dyDescent="0.2">
      <c r="A58" s="1"/>
      <c r="C58" s="117" t="s">
        <v>273</v>
      </c>
      <c r="D58" s="119" t="s">
        <v>280</v>
      </c>
      <c r="E58" s="116">
        <f>'calculs réno'!E135</f>
        <v>468.75300000000004</v>
      </c>
      <c r="F58" s="116">
        <f>'calculs réno'!F135</f>
        <v>1056.0346666666667</v>
      </c>
      <c r="G58" s="116">
        <f>'calculs réno'!G135</f>
        <v>1524.7876666666666</v>
      </c>
      <c r="H58" s="116">
        <f>'calculs réno'!H135</f>
        <v>1243.5358666666666</v>
      </c>
      <c r="I58" s="116">
        <f>'calculs réno'!I135</f>
        <v>1041.7129333333332</v>
      </c>
      <c r="J58" s="9"/>
      <c r="K58" s="20"/>
      <c r="L58" s="30"/>
      <c r="M58" s="20"/>
    </row>
    <row r="59" spans="1:75" ht="15" x14ac:dyDescent="0.2">
      <c r="A59" s="1"/>
      <c r="C59" s="117" t="s">
        <v>210</v>
      </c>
      <c r="D59" s="118">
        <v>0.85</v>
      </c>
      <c r="E59" s="116">
        <f>'calculs réno'!E136</f>
        <v>156.92352941176472</v>
      </c>
      <c r="F59" s="116">
        <f>'calculs réno'!F136</f>
        <v>1135.8117647058823</v>
      </c>
      <c r="G59" s="116">
        <f>'calculs réno'!G136</f>
        <v>1292.7352941176471</v>
      </c>
      <c r="H59" s="116">
        <f>'calculs réno'!H136</f>
        <v>1198.5811764705882</v>
      </c>
      <c r="I59" s="116">
        <f>'calculs réno'!I136</f>
        <v>971.41882352941172</v>
      </c>
      <c r="J59" s="9"/>
      <c r="K59" s="20"/>
      <c r="L59" s="30"/>
      <c r="M59" s="20"/>
    </row>
    <row r="60" spans="1:75" ht="15" x14ac:dyDescent="0.2">
      <c r="A60" s="1"/>
      <c r="C60" s="117" t="s">
        <v>211</v>
      </c>
      <c r="D60" s="118">
        <v>0.85</v>
      </c>
      <c r="E60" s="116">
        <f>'calculs réno'!E137</f>
        <v>259.85789215686276</v>
      </c>
      <c r="F60" s="116">
        <f>'calculs réno'!F137</f>
        <v>1880.8501960784313</v>
      </c>
      <c r="G60" s="116">
        <f>'calculs réno'!G137</f>
        <v>2140.7080882352939</v>
      </c>
      <c r="H60" s="116">
        <f>'calculs réno'!H137</f>
        <v>1984.7933529411764</v>
      </c>
      <c r="I60" s="116">
        <f>'calculs réno'!I137</f>
        <v>1608.6233137254901</v>
      </c>
      <c r="J60" s="9"/>
      <c r="K60" s="20"/>
      <c r="L60" s="30"/>
      <c r="M60" s="20"/>
    </row>
    <row r="61" spans="1:75" ht="15" x14ac:dyDescent="0.2">
      <c r="A61" s="1"/>
      <c r="C61" s="117" t="s">
        <v>212</v>
      </c>
      <c r="D61" s="118" t="s">
        <v>278</v>
      </c>
      <c r="E61" s="116">
        <f>'calculs réno'!E138</f>
        <v>247.46248725790008</v>
      </c>
      <c r="F61" s="116">
        <f>'calculs réno'!F138</f>
        <v>2041.6623139653409</v>
      </c>
      <c r="G61" s="116">
        <f>'calculs réno'!G138</f>
        <v>2289.1248012232409</v>
      </c>
      <c r="H61" s="116">
        <f>'calculs réno'!H138</f>
        <v>2140.6473088685011</v>
      </c>
      <c r="I61" s="116">
        <f>'calculs réno'!I138</f>
        <v>1782.4208460754328</v>
      </c>
      <c r="J61" s="9"/>
      <c r="K61" s="20"/>
      <c r="L61" s="30"/>
      <c r="M61" s="20"/>
    </row>
    <row r="62" spans="1:75" ht="15" x14ac:dyDescent="0.2">
      <c r="A62" s="1"/>
      <c r="C62" s="117" t="s">
        <v>177</v>
      </c>
      <c r="D62" s="118">
        <v>0.93</v>
      </c>
      <c r="E62" s="116">
        <f>'calculs réno'!E139</f>
        <v>290.03667861409792</v>
      </c>
      <c r="F62" s="116">
        <f>'calculs réno'!F139</f>
        <v>2349.8141099163681</v>
      </c>
      <c r="G62" s="116">
        <f>'calculs réno'!G139</f>
        <v>2639.8507885304662</v>
      </c>
      <c r="H62" s="116">
        <f>'calculs réno'!H139</f>
        <v>2465.8287813620072</v>
      </c>
      <c r="I62" s="116">
        <f>'calculs réno'!I139</f>
        <v>2045.9719593787333</v>
      </c>
      <c r="J62" s="9"/>
      <c r="K62" s="20"/>
      <c r="L62" s="30"/>
      <c r="M62" s="20"/>
    </row>
    <row r="63" spans="1:75" ht="15" x14ac:dyDescent="0.2">
      <c r="A63" s="1"/>
      <c r="C63" s="117" t="s">
        <v>213</v>
      </c>
      <c r="D63" s="118" t="s">
        <v>277</v>
      </c>
      <c r="E63" s="116">
        <f>'calculs réno'!E140</f>
        <v>341.89067307692306</v>
      </c>
      <c r="F63" s="116">
        <f>'calculs réno'!F140</f>
        <v>2474.603076923077</v>
      </c>
      <c r="G63" s="116">
        <f>'calculs réno'!G140</f>
        <v>2816.4937500000001</v>
      </c>
      <c r="H63" s="116">
        <f>'calculs réno'!H140</f>
        <v>2611.3593461538462</v>
      </c>
      <c r="I63" s="116">
        <f>'calculs réno'!I140</f>
        <v>2116.4387307692305</v>
      </c>
      <c r="J63" s="9"/>
      <c r="K63" s="20"/>
      <c r="L63" s="30"/>
      <c r="M63" s="20"/>
    </row>
    <row r="64" spans="1:75" ht="15" x14ac:dyDescent="0.2">
      <c r="A64" s="1"/>
      <c r="C64" s="117" t="s">
        <v>176</v>
      </c>
      <c r="D64" s="118">
        <v>0.93</v>
      </c>
      <c r="E64" s="116">
        <f>'calculs réno'!E141</f>
        <v>382.32935483870972</v>
      </c>
      <c r="F64" s="116">
        <f>'calculs réno'!F141</f>
        <v>2767.2980645161292</v>
      </c>
      <c r="G64" s="116">
        <f>'calculs réno'!G141</f>
        <v>3149.6274193548388</v>
      </c>
      <c r="H64" s="116">
        <f>'calculs réno'!H141</f>
        <v>2920.2298064516131</v>
      </c>
      <c r="I64" s="116">
        <f>'calculs réno'!I141</f>
        <v>2366.7701935483874</v>
      </c>
      <c r="J64" s="9"/>
      <c r="K64" s="20"/>
      <c r="L64" s="30"/>
      <c r="M64" s="20"/>
    </row>
    <row r="65" spans="1:75" ht="15" x14ac:dyDescent="0.2">
      <c r="A65" s="1"/>
      <c r="C65" s="117" t="s">
        <v>214</v>
      </c>
      <c r="D65" s="118" t="s">
        <v>276</v>
      </c>
      <c r="E65" s="116">
        <f>'calculs réno'!E142</f>
        <v>527.12897196261679</v>
      </c>
      <c r="F65" s="116">
        <f>'calculs réno'!F142</f>
        <v>3815.3570093457943</v>
      </c>
      <c r="G65" s="116">
        <f>'calculs réno'!G142</f>
        <v>4342.4859813084113</v>
      </c>
      <c r="H65" s="116">
        <f>'calculs réno'!H142</f>
        <v>4026.208598130841</v>
      </c>
      <c r="I65" s="116">
        <f>'calculs réno'!I142</f>
        <v>3263.1371962616822</v>
      </c>
      <c r="J65" s="9"/>
      <c r="K65" s="20"/>
      <c r="L65" s="30"/>
      <c r="M65" s="20"/>
    </row>
    <row r="66" spans="1:75" ht="15" x14ac:dyDescent="0.2">
      <c r="A66" s="1"/>
      <c r="C66" s="117" t="s">
        <v>178</v>
      </c>
      <c r="D66" s="118">
        <v>0.93</v>
      </c>
      <c r="E66" s="116">
        <f>'calculs réno'!E143</f>
        <v>606.48172043010754</v>
      </c>
      <c r="F66" s="116">
        <f>'calculs réno'!F143</f>
        <v>4389.7118279569895</v>
      </c>
      <c r="G66" s="116">
        <f>'calculs réno'!G143</f>
        <v>4996.1935483870966</v>
      </c>
      <c r="H66" s="116">
        <f>'calculs réno'!H143</f>
        <v>4632.3045161290329</v>
      </c>
      <c r="I66" s="116">
        <f>'calculs réno'!I143</f>
        <v>3754.362150537635</v>
      </c>
      <c r="J66" s="9"/>
      <c r="L66" s="30"/>
      <c r="M66" s="20"/>
    </row>
    <row r="67" spans="1:75" x14ac:dyDescent="0.2">
      <c r="A67" s="1"/>
      <c r="C67" s="66" t="s">
        <v>320</v>
      </c>
      <c r="J67" s="9"/>
      <c r="K67" s="20"/>
      <c r="L67" s="30"/>
      <c r="M67" s="20"/>
    </row>
    <row r="68" spans="1:75" ht="15" x14ac:dyDescent="0.2">
      <c r="A68" s="1"/>
      <c r="C68" s="32"/>
      <c r="D68" s="29"/>
      <c r="E68" s="29"/>
      <c r="F68" s="29"/>
      <c r="G68" s="15"/>
      <c r="I68" s="9"/>
      <c r="J68" s="9"/>
      <c r="K68" s="20"/>
      <c r="L68" s="30"/>
      <c r="M68" s="20"/>
    </row>
    <row r="69" spans="1:75" s="1" customFormat="1" x14ac:dyDescent="0.2">
      <c r="D69" s="8"/>
      <c r="E69" s="8"/>
      <c r="F69" s="8"/>
      <c r="H69" s="8"/>
      <c r="I69" s="8"/>
      <c r="J69" s="8"/>
      <c r="K69" s="33"/>
      <c r="L69" s="33"/>
      <c r="M69" s="33"/>
      <c r="BV69" s="2"/>
      <c r="BW69" s="2"/>
    </row>
    <row r="70" spans="1:75" s="1" customFormat="1" x14ac:dyDescent="0.2">
      <c r="D70" s="8"/>
      <c r="E70" s="8"/>
      <c r="F70" s="8"/>
      <c r="H70" s="8"/>
      <c r="I70" s="8"/>
      <c r="J70" s="8"/>
      <c r="K70" s="33"/>
      <c r="L70" s="33"/>
      <c r="M70" s="33"/>
      <c r="BV70" s="2"/>
      <c r="BW70" s="2"/>
    </row>
    <row r="71" spans="1:75" s="1" customFormat="1" x14ac:dyDescent="0.2">
      <c r="D71" s="8"/>
      <c r="E71" s="8"/>
      <c r="F71" s="8"/>
      <c r="H71" s="8"/>
      <c r="I71" s="8"/>
      <c r="J71" s="8"/>
      <c r="K71" s="33"/>
      <c r="L71" s="33"/>
      <c r="M71" s="33"/>
      <c r="BV71" s="2"/>
      <c r="BW71" s="2"/>
    </row>
    <row r="72" spans="1:75" s="1" customFormat="1" x14ac:dyDescent="0.2">
      <c r="D72" s="8"/>
      <c r="E72" s="8"/>
      <c r="F72" s="8"/>
      <c r="H72" s="8"/>
      <c r="I72" s="8"/>
      <c r="J72" s="8"/>
      <c r="K72" s="33"/>
      <c r="L72" s="33"/>
      <c r="M72" s="33"/>
      <c r="BV72" s="2"/>
      <c r="BW72" s="2"/>
    </row>
    <row r="73" spans="1:75" s="1" customFormat="1" x14ac:dyDescent="0.2">
      <c r="H73" s="8"/>
      <c r="I73" s="8"/>
      <c r="J73" s="8"/>
      <c r="K73" s="33"/>
      <c r="L73" s="33"/>
      <c r="M73" s="33"/>
      <c r="BV73" s="2"/>
      <c r="BW73" s="2"/>
    </row>
    <row r="74" spans="1:75" s="1" customFormat="1" x14ac:dyDescent="0.2">
      <c r="D74" s="8"/>
      <c r="E74" s="8"/>
      <c r="F74" s="8"/>
      <c r="H74" s="8"/>
      <c r="I74" s="8"/>
      <c r="J74" s="8"/>
      <c r="K74" s="33"/>
      <c r="L74" s="33"/>
      <c r="M74" s="33"/>
      <c r="BV74" s="2"/>
      <c r="BW74" s="2"/>
    </row>
    <row r="75" spans="1:75" s="1" customFormat="1" x14ac:dyDescent="0.2">
      <c r="D75" s="8"/>
      <c r="E75" s="8"/>
      <c r="F75" s="8"/>
      <c r="H75" s="8"/>
      <c r="I75" s="8"/>
      <c r="J75" s="8"/>
      <c r="K75" s="33"/>
      <c r="L75" s="33"/>
      <c r="M75" s="33"/>
      <c r="BV75" s="2"/>
      <c r="BW75" s="2"/>
    </row>
    <row r="76" spans="1:75" s="1" customFormat="1" x14ac:dyDescent="0.2">
      <c r="D76" s="8"/>
      <c r="E76" s="8"/>
      <c r="F76" s="8"/>
      <c r="H76" s="8"/>
      <c r="I76" s="8"/>
      <c r="J76" s="8"/>
      <c r="K76" s="33"/>
      <c r="L76" s="33"/>
      <c r="M76" s="33"/>
      <c r="BV76" s="2"/>
      <c r="BW76" s="2"/>
    </row>
    <row r="77" spans="1:75" s="1" customFormat="1" x14ac:dyDescent="0.2">
      <c r="D77" s="8"/>
      <c r="E77" s="8"/>
      <c r="F77" s="8"/>
      <c r="H77" s="8"/>
      <c r="I77" s="8"/>
      <c r="J77" s="8"/>
      <c r="K77" s="33"/>
      <c r="L77" s="33"/>
      <c r="M77" s="33"/>
      <c r="BV77" s="2"/>
      <c r="BW77" s="2"/>
    </row>
    <row r="78" spans="1:75" s="1" customFormat="1" x14ac:dyDescent="0.2">
      <c r="D78" s="8"/>
      <c r="E78" s="8"/>
      <c r="F78" s="8"/>
      <c r="H78" s="8"/>
      <c r="I78" s="8"/>
      <c r="J78" s="8"/>
      <c r="K78" s="33"/>
      <c r="L78" s="33"/>
      <c r="M78" s="33"/>
      <c r="BV78" s="2"/>
      <c r="BW78" s="2"/>
    </row>
    <row r="79" spans="1:75" s="1" customFormat="1" x14ac:dyDescent="0.2">
      <c r="D79" s="8"/>
      <c r="E79" s="8"/>
      <c r="F79" s="8"/>
      <c r="H79" s="8"/>
      <c r="I79" s="8"/>
      <c r="J79" s="8"/>
      <c r="K79" s="33"/>
      <c r="L79" s="33"/>
      <c r="M79" s="33"/>
    </row>
    <row r="80" spans="1:75" s="1" customFormat="1" x14ac:dyDescent="0.2">
      <c r="D80" s="8"/>
      <c r="E80" s="8"/>
      <c r="F80" s="8"/>
      <c r="H80" s="8"/>
      <c r="I80" s="8"/>
      <c r="J80" s="8"/>
      <c r="K80" s="33"/>
      <c r="L80" s="33"/>
      <c r="M80" s="33"/>
    </row>
    <row r="81" spans="1:75" s="1" customFormat="1" x14ac:dyDescent="0.2">
      <c r="D81" s="8"/>
      <c r="E81" s="8"/>
      <c r="F81" s="8"/>
      <c r="H81" s="8"/>
      <c r="I81" s="8"/>
      <c r="J81" s="8"/>
      <c r="K81" s="33"/>
      <c r="L81" s="33"/>
      <c r="M81" s="33"/>
    </row>
    <row r="82" spans="1:75" s="1" customFormat="1" x14ac:dyDescent="0.2">
      <c r="D82" s="8"/>
      <c r="E82" s="8"/>
      <c r="F82" s="8"/>
      <c r="H82" s="8"/>
      <c r="I82" s="8"/>
      <c r="J82" s="8"/>
      <c r="K82" s="33"/>
      <c r="L82" s="33"/>
      <c r="M82" s="33"/>
    </row>
    <row r="83" spans="1:75" s="1" customFormat="1" x14ac:dyDescent="0.2">
      <c r="D83" s="8"/>
      <c r="E83" s="8"/>
      <c r="F83" s="8"/>
      <c r="H83" s="8"/>
      <c r="I83" s="8"/>
      <c r="J83" s="8"/>
      <c r="K83" s="33"/>
      <c r="L83" s="33"/>
      <c r="M83" s="33"/>
    </row>
    <row r="84" spans="1:75" s="1" customFormat="1" x14ac:dyDescent="0.2">
      <c r="D84" s="8"/>
      <c r="E84" s="8"/>
      <c r="F84" s="8"/>
      <c r="H84" s="8"/>
      <c r="I84" s="8"/>
      <c r="J84" s="8"/>
      <c r="K84" s="33"/>
      <c r="L84" s="33"/>
      <c r="M84" s="33"/>
    </row>
    <row r="85" spans="1:75" s="1" customFormat="1" x14ac:dyDescent="0.2">
      <c r="D85" s="8"/>
      <c r="E85" s="8"/>
      <c r="F85" s="8"/>
      <c r="H85" s="8"/>
      <c r="I85" s="8"/>
      <c r="J85" s="8"/>
      <c r="K85" s="33"/>
      <c r="L85" s="33"/>
      <c r="M85" s="33"/>
    </row>
    <row r="86" spans="1:75" s="1" customFormat="1" x14ac:dyDescent="0.2">
      <c r="D86" s="8"/>
      <c r="E86" s="8"/>
      <c r="F86" s="8"/>
      <c r="H86" s="8"/>
      <c r="I86" s="8"/>
      <c r="J86" s="8"/>
      <c r="K86" s="33"/>
      <c r="L86" s="33"/>
      <c r="M86" s="33"/>
    </row>
    <row r="87" spans="1:75" s="1" customFormat="1" x14ac:dyDescent="0.2">
      <c r="D87" s="8"/>
      <c r="E87" s="8"/>
      <c r="F87" s="8"/>
      <c r="H87" s="8"/>
      <c r="I87" s="8"/>
      <c r="J87" s="8"/>
      <c r="K87" s="33"/>
      <c r="L87" s="33"/>
      <c r="M87" s="33"/>
    </row>
    <row r="88" spans="1:75" s="1" customFormat="1" x14ac:dyDescent="0.2">
      <c r="D88" s="8"/>
      <c r="E88" s="8"/>
      <c r="F88" s="8"/>
      <c r="H88" s="8"/>
      <c r="I88" s="8"/>
      <c r="J88" s="8"/>
      <c r="K88" s="33"/>
      <c r="L88" s="33"/>
      <c r="M88" s="33"/>
    </row>
    <row r="89" spans="1:75" s="1" customFormat="1" x14ac:dyDescent="0.2">
      <c r="D89" s="8"/>
      <c r="E89" s="8"/>
      <c r="F89" s="8"/>
      <c r="H89" s="8"/>
      <c r="I89" s="8"/>
      <c r="J89" s="8"/>
      <c r="K89" s="33"/>
      <c r="L89" s="33"/>
      <c r="M89" s="33"/>
    </row>
    <row r="90" spans="1:75" s="1" customFormat="1" x14ac:dyDescent="0.2">
      <c r="D90" s="8"/>
      <c r="E90" s="8"/>
      <c r="F90" s="8"/>
      <c r="H90" s="8"/>
      <c r="I90" s="8"/>
      <c r="J90" s="8"/>
      <c r="K90" s="33"/>
      <c r="L90" s="33"/>
      <c r="M90" s="33"/>
      <c r="BV90" s="2"/>
      <c r="BW90" s="2"/>
    </row>
    <row r="91" spans="1:75" s="1" customFormat="1" x14ac:dyDescent="0.2">
      <c r="D91" s="8"/>
      <c r="E91" s="8"/>
      <c r="F91" s="8"/>
      <c r="H91" s="8"/>
      <c r="I91" s="8"/>
      <c r="J91" s="8"/>
      <c r="K91" s="33"/>
      <c r="L91" s="33"/>
      <c r="M91" s="33"/>
      <c r="BV91" s="2"/>
      <c r="BW91" s="2"/>
    </row>
    <row r="92" spans="1:75" s="1" customFormat="1" x14ac:dyDescent="0.2">
      <c r="D92" s="8"/>
      <c r="E92" s="8"/>
      <c r="F92" s="8"/>
      <c r="H92" s="8"/>
      <c r="I92" s="8"/>
      <c r="J92" s="8"/>
      <c r="K92" s="33"/>
      <c r="L92" s="33"/>
      <c r="M92" s="33"/>
      <c r="BV92" s="2"/>
      <c r="BW92" s="2"/>
    </row>
    <row r="93" spans="1:75" x14ac:dyDescent="0.2">
      <c r="A93" s="1"/>
      <c r="B93" s="1"/>
      <c r="C93" s="1"/>
      <c r="G93" s="1"/>
      <c r="I93" s="8"/>
      <c r="J93" s="8"/>
    </row>
    <row r="94" spans="1:75" x14ac:dyDescent="0.2">
      <c r="A94" s="1"/>
      <c r="B94" s="1"/>
      <c r="C94" s="1"/>
      <c r="G94" s="1"/>
      <c r="I94" s="8"/>
      <c r="J94" s="8"/>
    </row>
    <row r="95" spans="1:75" x14ac:dyDescent="0.2">
      <c r="A95" s="1"/>
      <c r="B95" s="1"/>
      <c r="C95" s="1"/>
      <c r="G95" s="1"/>
      <c r="I95" s="8"/>
      <c r="J95" s="8"/>
    </row>
    <row r="96" spans="1:75" x14ac:dyDescent="0.2">
      <c r="A96" s="1"/>
      <c r="B96" s="1"/>
      <c r="C96" s="1"/>
      <c r="G96" s="1"/>
      <c r="I96" s="8"/>
      <c r="J96" s="8"/>
    </row>
    <row r="97" spans="1:75" x14ac:dyDescent="0.2">
      <c r="A97" s="1"/>
      <c r="B97" s="1"/>
      <c r="C97" s="49" t="s">
        <v>343</v>
      </c>
      <c r="G97" s="1"/>
      <c r="I97" s="8"/>
      <c r="J97" s="8"/>
    </row>
    <row r="98" spans="1:75" x14ac:dyDescent="0.2">
      <c r="A98" s="1"/>
      <c r="B98" s="1"/>
      <c r="C98" s="1"/>
      <c r="G98" s="1"/>
      <c r="I98" s="8"/>
      <c r="J98" s="8"/>
    </row>
    <row r="99" spans="1:75" x14ac:dyDescent="0.2">
      <c r="A99" s="1"/>
      <c r="B99" s="1"/>
      <c r="C99" s="1"/>
      <c r="G99" s="1"/>
      <c r="I99" s="8"/>
      <c r="J99" s="8"/>
    </row>
    <row r="100" spans="1:75" x14ac:dyDescent="0.2">
      <c r="A100" s="1"/>
      <c r="B100" s="1"/>
      <c r="C100" s="1"/>
      <c r="G100" s="1"/>
      <c r="I100" s="8"/>
      <c r="J100" s="8"/>
    </row>
    <row r="101" spans="1:75" x14ac:dyDescent="0.2">
      <c r="A101" s="1"/>
      <c r="B101" s="1"/>
      <c r="C101" s="1"/>
      <c r="G101" s="1"/>
      <c r="I101" s="8"/>
      <c r="J101" s="8"/>
    </row>
    <row r="102" spans="1:75" x14ac:dyDescent="0.2">
      <c r="A102" s="1"/>
      <c r="B102" s="1"/>
      <c r="C102" s="1"/>
      <c r="G102" s="1"/>
      <c r="I102" s="8"/>
      <c r="J102" s="8"/>
    </row>
    <row r="103" spans="1:75" x14ac:dyDescent="0.2">
      <c r="A103" s="1"/>
      <c r="B103" s="1"/>
      <c r="C103" s="1"/>
      <c r="G103" s="1"/>
      <c r="I103" s="8"/>
      <c r="J103" s="8"/>
    </row>
    <row r="104" spans="1:75" x14ac:dyDescent="0.2">
      <c r="A104" s="1"/>
      <c r="B104" s="1"/>
      <c r="C104" s="1"/>
      <c r="G104" s="1"/>
      <c r="I104" s="8"/>
      <c r="J104" s="8"/>
    </row>
    <row r="105" spans="1:75" x14ac:dyDescent="0.2">
      <c r="A105" s="1"/>
      <c r="B105" s="1"/>
      <c r="C105" s="1"/>
      <c r="G105" s="1"/>
      <c r="I105" s="8"/>
      <c r="J105" s="8"/>
    </row>
    <row r="106" spans="1:75" x14ac:dyDescent="0.2">
      <c r="A106" s="1"/>
      <c r="B106" s="1"/>
      <c r="C106" s="1"/>
      <c r="G106" s="1"/>
      <c r="I106" s="8"/>
      <c r="J106" s="8"/>
    </row>
    <row r="107" spans="1:75" x14ac:dyDescent="0.2">
      <c r="A107" s="1"/>
      <c r="B107" s="1"/>
      <c r="C107" s="1"/>
      <c r="G107" s="1"/>
      <c r="I107" s="8"/>
      <c r="J107" s="8"/>
    </row>
    <row r="108" spans="1:75" s="1" customFormat="1" x14ac:dyDescent="0.2">
      <c r="D108" s="8"/>
      <c r="E108" s="8"/>
      <c r="F108" s="8"/>
      <c r="H108" s="8"/>
      <c r="I108" s="8"/>
      <c r="J108" s="8"/>
      <c r="K108" s="33"/>
      <c r="L108" s="33"/>
      <c r="M108" s="33"/>
      <c r="BV108" s="2"/>
      <c r="BW108" s="2"/>
    </row>
    <row r="109" spans="1:75" s="1" customFormat="1" x14ac:dyDescent="0.2">
      <c r="D109" s="8"/>
      <c r="E109" s="8"/>
      <c r="F109" s="8"/>
      <c r="H109" s="8"/>
      <c r="I109" s="8"/>
      <c r="J109" s="8"/>
      <c r="K109" s="33"/>
      <c r="L109" s="33"/>
      <c r="M109" s="33"/>
      <c r="BV109" s="2"/>
      <c r="BW109" s="2"/>
    </row>
    <row r="110" spans="1:75" s="1" customFormat="1" x14ac:dyDescent="0.2">
      <c r="D110" s="8"/>
      <c r="E110" s="8"/>
      <c r="F110" s="8"/>
      <c r="H110" s="8"/>
      <c r="I110" s="8"/>
      <c r="J110" s="8"/>
      <c r="K110" s="33"/>
      <c r="L110" s="33"/>
      <c r="M110" s="33"/>
      <c r="BV110" s="2"/>
      <c r="BW110" s="2"/>
    </row>
    <row r="111" spans="1:75" s="1" customFormat="1" x14ac:dyDescent="0.2">
      <c r="D111" s="8"/>
      <c r="E111" s="8"/>
      <c r="F111" s="8"/>
      <c r="H111" s="8"/>
      <c r="I111" s="8"/>
      <c r="J111" s="8"/>
      <c r="K111" s="33"/>
      <c r="L111" s="33"/>
      <c r="M111" s="33"/>
      <c r="BV111" s="2"/>
      <c r="BW111" s="2"/>
    </row>
    <row r="112" spans="1:75" s="1" customFormat="1" x14ac:dyDescent="0.2">
      <c r="D112" s="8"/>
      <c r="E112" s="8"/>
      <c r="F112" s="8"/>
      <c r="H112" s="8"/>
      <c r="I112" s="8"/>
      <c r="J112" s="8"/>
      <c r="K112" s="33"/>
      <c r="L112" s="33"/>
      <c r="M112" s="33"/>
      <c r="BV112" s="2"/>
      <c r="BW112" s="2"/>
    </row>
    <row r="113" spans="4:75" s="1" customFormat="1" x14ac:dyDescent="0.2">
      <c r="D113" s="8"/>
      <c r="E113" s="8"/>
      <c r="F113" s="8"/>
      <c r="H113" s="8"/>
      <c r="I113" s="8"/>
      <c r="J113" s="8"/>
      <c r="K113" s="33"/>
      <c r="L113" s="33"/>
      <c r="M113" s="33"/>
      <c r="BV113" s="2"/>
      <c r="BW113" s="2"/>
    </row>
    <row r="114" spans="4:75" s="1" customFormat="1" x14ac:dyDescent="0.2">
      <c r="D114" s="8"/>
      <c r="E114" s="8"/>
      <c r="F114" s="8"/>
      <c r="H114" s="8"/>
      <c r="I114" s="8"/>
      <c r="J114" s="8"/>
      <c r="K114" s="33"/>
      <c r="L114" s="33"/>
      <c r="M114" s="33"/>
      <c r="BV114" s="2"/>
      <c r="BW114" s="2"/>
    </row>
    <row r="115" spans="4:75" s="1" customFormat="1" x14ac:dyDescent="0.2">
      <c r="D115" s="8"/>
      <c r="E115" s="8"/>
      <c r="F115" s="8"/>
      <c r="H115" s="8"/>
      <c r="I115" s="8"/>
      <c r="J115" s="8"/>
      <c r="K115" s="33"/>
      <c r="L115" s="33"/>
      <c r="M115" s="33"/>
      <c r="BV115" s="2"/>
      <c r="BW115" s="2"/>
    </row>
    <row r="116" spans="4:75" s="1" customFormat="1" x14ac:dyDescent="0.2">
      <c r="D116" s="8"/>
      <c r="E116" s="8"/>
      <c r="F116" s="8"/>
      <c r="H116" s="8"/>
      <c r="I116" s="8"/>
      <c r="J116" s="8"/>
      <c r="K116" s="33"/>
      <c r="L116" s="33"/>
      <c r="M116" s="33"/>
      <c r="BV116" s="2"/>
      <c r="BW116" s="2"/>
    </row>
    <row r="117" spans="4:75" s="1" customFormat="1" x14ac:dyDescent="0.2">
      <c r="D117" s="8"/>
      <c r="E117" s="8"/>
      <c r="F117" s="8"/>
      <c r="H117" s="8"/>
      <c r="I117" s="8"/>
      <c r="J117" s="8"/>
      <c r="K117" s="33"/>
      <c r="L117" s="33"/>
      <c r="M117" s="33"/>
      <c r="BV117" s="2"/>
      <c r="BW117" s="2"/>
    </row>
    <row r="118" spans="4:75" s="1" customFormat="1" x14ac:dyDescent="0.2">
      <c r="D118" s="8"/>
      <c r="E118" s="8"/>
      <c r="F118" s="8"/>
      <c r="H118" s="8"/>
      <c r="I118" s="8"/>
      <c r="J118" s="8"/>
      <c r="K118" s="33"/>
      <c r="L118" s="33"/>
      <c r="M118" s="33"/>
      <c r="BV118" s="2"/>
      <c r="BW118" s="2"/>
    </row>
    <row r="119" spans="4:75" s="1" customFormat="1" x14ac:dyDescent="0.2">
      <c r="D119" s="8"/>
      <c r="E119" s="8"/>
      <c r="F119" s="8"/>
      <c r="H119" s="8"/>
      <c r="I119" s="8"/>
      <c r="J119" s="8"/>
      <c r="K119" s="33"/>
      <c r="L119" s="33"/>
      <c r="M119" s="33"/>
      <c r="BV119" s="2"/>
      <c r="BW119" s="2"/>
    </row>
    <row r="120" spans="4:75" s="1" customFormat="1" x14ac:dyDescent="0.2">
      <c r="D120" s="8"/>
      <c r="E120" s="8"/>
      <c r="F120" s="8"/>
      <c r="H120" s="8"/>
      <c r="I120" s="8"/>
      <c r="J120" s="8"/>
      <c r="K120" s="33"/>
      <c r="L120" s="33"/>
      <c r="M120" s="33"/>
      <c r="BV120" s="2"/>
      <c r="BW120" s="2"/>
    </row>
    <row r="121" spans="4:75" s="1" customFormat="1" x14ac:dyDescent="0.2">
      <c r="D121" s="8"/>
      <c r="E121" s="8"/>
      <c r="F121" s="8"/>
      <c r="H121" s="8"/>
      <c r="I121" s="8"/>
      <c r="J121" s="8"/>
      <c r="K121" s="33"/>
      <c r="L121" s="33"/>
      <c r="M121" s="33"/>
    </row>
    <row r="122" spans="4:75" s="1" customFormat="1" x14ac:dyDescent="0.2">
      <c r="D122" s="8"/>
      <c r="E122" s="8"/>
      <c r="F122" s="8"/>
      <c r="H122" s="8"/>
      <c r="I122" s="8"/>
      <c r="J122" s="8"/>
      <c r="K122" s="33"/>
      <c r="L122" s="33"/>
      <c r="M122" s="33"/>
    </row>
    <row r="123" spans="4:75" s="1" customFormat="1" x14ac:dyDescent="0.2">
      <c r="D123" s="8"/>
      <c r="E123" s="8"/>
      <c r="F123" s="8"/>
      <c r="H123" s="8"/>
      <c r="I123" s="8"/>
      <c r="J123" s="8"/>
      <c r="K123" s="33"/>
      <c r="L123" s="33"/>
      <c r="M123" s="33"/>
    </row>
    <row r="124" spans="4:75" s="1" customFormat="1" x14ac:dyDescent="0.2">
      <c r="D124" s="8"/>
      <c r="E124" s="8"/>
      <c r="F124" s="8"/>
      <c r="H124" s="8"/>
      <c r="I124" s="8"/>
      <c r="J124" s="8"/>
      <c r="K124" s="33"/>
      <c r="L124" s="33"/>
      <c r="M124" s="33"/>
    </row>
    <row r="125" spans="4:75" s="1" customFormat="1" x14ac:dyDescent="0.2">
      <c r="D125" s="8"/>
      <c r="E125" s="8"/>
      <c r="F125" s="8"/>
      <c r="H125" s="8"/>
      <c r="I125" s="8"/>
      <c r="J125" s="8"/>
      <c r="K125" s="33"/>
      <c r="L125" s="33"/>
      <c r="M125" s="33"/>
    </row>
    <row r="126" spans="4:75" s="1" customFormat="1" x14ac:dyDescent="0.2">
      <c r="D126" s="8"/>
      <c r="E126" s="8"/>
      <c r="F126" s="8"/>
      <c r="H126" s="8"/>
      <c r="I126" s="8"/>
      <c r="J126" s="8"/>
      <c r="K126" s="33"/>
      <c r="L126" s="33"/>
      <c r="M126" s="33"/>
    </row>
    <row r="127" spans="4:75" s="1" customFormat="1" x14ac:dyDescent="0.2">
      <c r="D127" s="8"/>
      <c r="E127" s="8"/>
      <c r="F127" s="8"/>
      <c r="H127" s="8"/>
      <c r="I127" s="8"/>
      <c r="J127" s="8"/>
      <c r="K127" s="33"/>
      <c r="L127" s="33"/>
      <c r="M127" s="33"/>
    </row>
    <row r="128" spans="4:75" s="1" customFormat="1" x14ac:dyDescent="0.2">
      <c r="D128" s="8"/>
      <c r="E128" s="8"/>
      <c r="F128" s="8"/>
      <c r="H128" s="8"/>
      <c r="I128" s="8"/>
      <c r="J128" s="8"/>
      <c r="K128" s="33"/>
      <c r="L128" s="33"/>
      <c r="M128" s="33"/>
    </row>
    <row r="129" spans="1:10" x14ac:dyDescent="0.2">
      <c r="A129" s="1"/>
      <c r="B129" s="1"/>
      <c r="C129" s="1"/>
      <c r="G129" s="1"/>
      <c r="I129" s="8"/>
      <c r="J129" s="8"/>
    </row>
    <row r="130" spans="1:10" x14ac:dyDescent="0.2">
      <c r="A130" s="1"/>
      <c r="B130" s="1"/>
      <c r="C130" s="1"/>
      <c r="G130" s="1"/>
      <c r="I130" s="8"/>
      <c r="J130" s="8"/>
    </row>
    <row r="131" spans="1:10" x14ac:dyDescent="0.2">
      <c r="A131" s="1"/>
      <c r="B131" s="1"/>
      <c r="C131" s="1"/>
      <c r="G131" s="1"/>
      <c r="I131" s="8"/>
      <c r="J131" s="8"/>
    </row>
    <row r="132" spans="1:10" x14ac:dyDescent="0.2">
      <c r="A132" s="1"/>
      <c r="B132" s="1"/>
      <c r="C132" s="1"/>
      <c r="G132" s="1"/>
      <c r="I132" s="8"/>
      <c r="J132" s="8"/>
    </row>
    <row r="133" spans="1:10" x14ac:dyDescent="0.2">
      <c r="A133" s="1"/>
      <c r="B133" s="1"/>
      <c r="C133" s="1"/>
      <c r="G133" s="1"/>
      <c r="I133" s="8"/>
      <c r="J133" s="8"/>
    </row>
    <row r="134" spans="1:10" x14ac:dyDescent="0.2">
      <c r="A134" s="1"/>
      <c r="B134" s="1"/>
      <c r="C134" s="1"/>
      <c r="G134" s="1"/>
      <c r="I134" s="8"/>
      <c r="J134" s="8"/>
    </row>
    <row r="135" spans="1:10" x14ac:dyDescent="0.2">
      <c r="A135" s="1"/>
      <c r="B135" s="1"/>
      <c r="C135" s="1"/>
      <c r="G135" s="1"/>
      <c r="I135" s="8"/>
      <c r="J135" s="8"/>
    </row>
    <row r="136" spans="1:10" x14ac:dyDescent="0.2">
      <c r="A136" s="1"/>
      <c r="B136" s="1"/>
      <c r="C136" s="1"/>
      <c r="G136" s="1"/>
      <c r="I136" s="8"/>
      <c r="J136" s="8"/>
    </row>
    <row r="137" spans="1:10" x14ac:dyDescent="0.2">
      <c r="A137" s="1"/>
      <c r="B137" s="1"/>
      <c r="C137" s="1"/>
      <c r="G137" s="1"/>
      <c r="I137" s="8"/>
      <c r="J137" s="8"/>
    </row>
    <row r="138" spans="1:10" x14ac:dyDescent="0.2">
      <c r="A138" s="1"/>
      <c r="B138" s="1"/>
      <c r="C138" s="1"/>
      <c r="G138" s="1"/>
      <c r="I138" s="8"/>
      <c r="J138" s="8"/>
    </row>
    <row r="139" spans="1:10" x14ac:dyDescent="0.2">
      <c r="A139" s="1"/>
      <c r="B139" s="1"/>
      <c r="C139" s="1"/>
      <c r="G139" s="1"/>
      <c r="I139" s="8"/>
      <c r="J139" s="8"/>
    </row>
    <row r="140" spans="1:10" x14ac:dyDescent="0.2">
      <c r="A140" s="1"/>
      <c r="B140" s="1"/>
      <c r="C140" s="1"/>
      <c r="G140" s="1"/>
      <c r="I140" s="8"/>
      <c r="J140" s="8"/>
    </row>
    <row r="141" spans="1:10" x14ac:dyDescent="0.2">
      <c r="A141" s="1"/>
      <c r="B141" s="1"/>
      <c r="C141" s="1"/>
      <c r="G141" s="1"/>
      <c r="I141" s="8"/>
      <c r="J141" s="8"/>
    </row>
    <row r="142" spans="1:10" x14ac:dyDescent="0.2">
      <c r="A142" s="1"/>
      <c r="B142" s="1"/>
      <c r="C142" s="1"/>
      <c r="G142" s="1"/>
      <c r="I142" s="8"/>
      <c r="J142" s="8"/>
    </row>
    <row r="143" spans="1:10" x14ac:dyDescent="0.2">
      <c r="A143" s="1"/>
      <c r="B143" s="1"/>
      <c r="C143" s="1"/>
      <c r="G143" s="1"/>
      <c r="I143" s="8"/>
      <c r="J143" s="8"/>
    </row>
    <row r="144" spans="1:10" x14ac:dyDescent="0.2">
      <c r="A144" s="1"/>
      <c r="B144" s="1"/>
      <c r="C144" s="1"/>
      <c r="G144" s="1"/>
      <c r="I144" s="8"/>
      <c r="J144" s="8"/>
    </row>
    <row r="145" spans="1:10" x14ac:dyDescent="0.2">
      <c r="A145" s="1"/>
      <c r="B145" s="1"/>
      <c r="C145" s="1"/>
      <c r="G145" s="1"/>
      <c r="I145" s="8"/>
      <c r="J145" s="8"/>
    </row>
    <row r="146" spans="1:10" x14ac:dyDescent="0.2">
      <c r="A146" s="1"/>
      <c r="B146" s="1"/>
      <c r="C146" s="1"/>
      <c r="G146" s="1"/>
      <c r="I146" s="8"/>
      <c r="J146" s="8"/>
    </row>
    <row r="147" spans="1:10" x14ac:dyDescent="0.2">
      <c r="A147" s="1"/>
      <c r="B147" s="1"/>
      <c r="C147" s="1"/>
      <c r="G147" s="1"/>
      <c r="I147" s="8"/>
      <c r="J147" s="8"/>
    </row>
    <row r="148" spans="1:10" x14ac:dyDescent="0.2">
      <c r="A148" s="1"/>
      <c r="B148" s="1"/>
      <c r="C148" s="1"/>
      <c r="G148" s="1"/>
      <c r="I148" s="8"/>
      <c r="J148" s="8"/>
    </row>
    <row r="149" spans="1:10" x14ac:dyDescent="0.2">
      <c r="A149" s="1"/>
      <c r="B149" s="1"/>
      <c r="C149" s="1"/>
      <c r="G149" s="1"/>
      <c r="I149" s="8"/>
      <c r="J149" s="8"/>
    </row>
    <row r="150" spans="1:10" x14ac:dyDescent="0.2">
      <c r="A150" s="1"/>
      <c r="B150" s="1"/>
      <c r="C150" s="1"/>
      <c r="G150" s="1"/>
      <c r="I150" s="8"/>
      <c r="J150" s="8"/>
    </row>
    <row r="151" spans="1:10" x14ac:dyDescent="0.2">
      <c r="A151" s="1"/>
      <c r="B151" s="1"/>
      <c r="C151" s="1"/>
      <c r="G151" s="1"/>
      <c r="I151" s="8"/>
      <c r="J151" s="8"/>
    </row>
    <row r="152" spans="1:10" x14ac:dyDescent="0.2">
      <c r="A152" s="1"/>
      <c r="B152" s="1"/>
      <c r="C152" s="1"/>
      <c r="G152" s="1"/>
      <c r="I152" s="8"/>
      <c r="J152" s="8"/>
    </row>
    <row r="153" spans="1:10" x14ac:dyDescent="0.2">
      <c r="A153" s="1"/>
      <c r="B153" s="1"/>
      <c r="C153" s="1"/>
      <c r="G153" s="1"/>
      <c r="I153" s="8"/>
      <c r="J153" s="8"/>
    </row>
    <row r="154" spans="1:10" x14ac:dyDescent="0.2">
      <c r="A154" s="1"/>
      <c r="B154" s="1"/>
      <c r="C154" s="1"/>
      <c r="G154" s="1"/>
      <c r="I154" s="8"/>
      <c r="J154" s="8"/>
    </row>
    <row r="155" spans="1:10" x14ac:dyDescent="0.2">
      <c r="A155" s="1"/>
      <c r="B155" s="1"/>
      <c r="C155" s="1"/>
      <c r="G155" s="1"/>
      <c r="I155" s="8"/>
      <c r="J155" s="8"/>
    </row>
  </sheetData>
  <sheetProtection password="DB0F" sheet="1" objects="1" scenarios="1"/>
  <mergeCells count="6">
    <mergeCell ref="D2:J2"/>
    <mergeCell ref="D13:J13"/>
    <mergeCell ref="M7:N7"/>
    <mergeCell ref="D11:J11"/>
    <mergeCell ref="D12:J12"/>
    <mergeCell ref="I7:J7"/>
  </mergeCells>
  <phoneticPr fontId="3" type="noConversion"/>
  <conditionalFormatting sqref="E29 E20 C29">
    <cfRule type="expression" dxfId="13" priority="1" stopIfTrue="1">
      <formula>$E$20&lt;&gt;""</formula>
    </cfRule>
  </conditionalFormatting>
  <conditionalFormatting sqref="G56:G66">
    <cfRule type="expression" dxfId="12" priority="2" stopIfTrue="1">
      <formula>$C$47="Aucune"</formula>
    </cfRule>
  </conditionalFormatting>
  <conditionalFormatting sqref="H55:H66">
    <cfRule type="expression" dxfId="11" priority="3" stopIfTrue="1">
      <formula>$C$47="CESI"</formula>
    </cfRule>
  </conditionalFormatting>
  <conditionalFormatting sqref="I55:I66">
    <cfRule type="expression" dxfId="10" priority="4" stopIfTrue="1">
      <formula>$C$47="SSC"</formula>
    </cfRule>
  </conditionalFormatting>
  <conditionalFormatting sqref="E46:E47">
    <cfRule type="expression" dxfId="9" priority="5" stopIfTrue="1">
      <formula>$C$47="Aucune"</formula>
    </cfRule>
  </conditionalFormatting>
  <conditionalFormatting sqref="G46:G47">
    <cfRule type="expression" dxfId="8" priority="6" stopIfTrue="1">
      <formula>$C$47="Aucune"</formula>
    </cfRule>
    <cfRule type="expression" dxfId="7" priority="7" stopIfTrue="1">
      <formula>$C$47="CESI"</formula>
    </cfRule>
  </conditionalFormatting>
  <dataValidations count="14">
    <dataValidation type="whole" allowBlank="1" showInputMessage="1" showErrorMessage="1" sqref="E47 G47">
      <formula1>0</formula1>
      <formula2>100</formula2>
    </dataValidation>
    <dataValidation type="whole" allowBlank="1" showInputMessage="1" showErrorMessage="1" sqref="C35">
      <formula1>15</formula1>
      <formula2>30</formula2>
    </dataValidation>
    <dataValidation type="decimal" allowBlank="1" showInputMessage="1" showErrorMessage="1" sqref="E38">
      <formula1>0</formula1>
      <formula2>3</formula2>
    </dataValidation>
    <dataValidation type="decimal" allowBlank="1" showInputMessage="1" showErrorMessage="1" sqref="E26">
      <formula1>0</formula1>
      <formula2>5</formula2>
    </dataValidation>
    <dataValidation type="list" allowBlank="1" showInputMessage="1" showErrorMessage="1" sqref="E29">
      <formula1>typechaud</formula1>
    </dataValidation>
    <dataValidation type="list" showInputMessage="1" showErrorMessage="1" sqref="G32">
      <formula1>typeecs</formula1>
    </dataValidation>
    <dataValidation type="list" showInputMessage="1" showErrorMessage="1" sqref="E32">
      <formula1>consoecs</formula1>
    </dataValidation>
    <dataValidation type="whole" allowBlank="1" showInputMessage="1" showErrorMessage="1" sqref="C32">
      <formula1>0</formula1>
      <formula2>10</formula2>
    </dataValidation>
    <dataValidation type="list" allowBlank="1" showInputMessage="1" showErrorMessage="1" sqref="E20">
      <formula1>Altitude</formula1>
    </dataValidation>
    <dataValidation type="list" allowBlank="1" showInputMessage="1" showErrorMessage="1" sqref="C20">
      <formula1>Département</formula1>
    </dataValidation>
    <dataValidation type="decimal" allowBlank="1" showInputMessage="1" showErrorMessage="1" sqref="C26">
      <formula1>0</formula1>
      <formula2>350</formula2>
    </dataValidation>
    <dataValidation type="whole" operator="greaterThanOrEqual" allowBlank="1" showInputMessage="1" showErrorMessage="1" sqref="G26:G29">
      <formula1>0</formula1>
    </dataValidation>
    <dataValidation type="list" allowBlank="1" showInputMessage="1" showErrorMessage="1" sqref="C29">
      <formula1>typeenergie</formula1>
    </dataValidation>
    <dataValidation type="list" allowBlank="1" showInputMessage="1" showErrorMessage="1" sqref="C47">
      <formula1>solaire</formula1>
    </dataValidation>
  </dataValidations>
  <pageMargins left="0.56000000000000005" right="0.23" top="0.35" bottom="0.17" header="0.32" footer="0.21"/>
  <pageSetup paperSize="9" scale="5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BW149"/>
  <sheetViews>
    <sheetView showGridLines="0" showRowColHeaders="0" zoomScale="75" zoomScaleNormal="75" workbookViewId="0">
      <selection activeCell="K25" sqref="K25"/>
    </sheetView>
  </sheetViews>
  <sheetFormatPr baseColWidth="10" defaultRowHeight="12.75" x14ac:dyDescent="0.2"/>
  <cols>
    <col min="1" max="1" width="2.42578125" style="2" customWidth="1"/>
    <col min="2" max="2" width="2.85546875" style="2" customWidth="1"/>
    <col min="3" max="3" width="25.28515625" style="2" customWidth="1"/>
    <col min="4" max="6" width="21.7109375" style="8" customWidth="1"/>
    <col min="7" max="7" width="21.7109375" style="2" customWidth="1"/>
    <col min="8" max="8" width="21.7109375" style="8" customWidth="1"/>
    <col min="9" max="9" width="21.7109375" style="11" customWidth="1"/>
    <col min="10" max="10" width="2.7109375" style="11" customWidth="1"/>
    <col min="11" max="11" width="10.42578125" style="33" customWidth="1"/>
    <col min="12" max="12" width="8.85546875" style="33" customWidth="1"/>
    <col min="13" max="13" width="19.5703125" style="33" customWidth="1"/>
    <col min="14" max="14" width="6.140625" style="1" customWidth="1"/>
    <col min="15" max="73" width="11.42578125" style="1"/>
    <col min="74" max="16384" width="11.42578125" style="2"/>
  </cols>
  <sheetData>
    <row r="1" spans="1:75" s="17" customFormat="1" ht="15" customHeight="1" x14ac:dyDescent="0.2">
      <c r="A1" s="74"/>
      <c r="B1" s="74"/>
      <c r="C1" s="74"/>
      <c r="D1" s="123"/>
      <c r="E1" s="123"/>
      <c r="F1" s="123"/>
      <c r="G1" s="124"/>
      <c r="H1" s="125"/>
      <c r="I1" s="125"/>
      <c r="J1" s="125"/>
      <c r="K1" s="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75" s="17" customFormat="1" ht="25.5" x14ac:dyDescent="0.2">
      <c r="A2" s="74"/>
      <c r="B2" s="74"/>
      <c r="C2" s="74"/>
      <c r="D2" s="147" t="s">
        <v>187</v>
      </c>
      <c r="E2" s="147"/>
      <c r="F2" s="147"/>
      <c r="G2" s="147"/>
      <c r="H2" s="147"/>
      <c r="I2" s="147"/>
      <c r="J2" s="147"/>
      <c r="K2" s="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75" s="17" customFormat="1" ht="15" customHeight="1" x14ac:dyDescent="0.3">
      <c r="A3" s="74"/>
      <c r="B3" s="74"/>
      <c r="C3" s="74"/>
      <c r="D3" s="123"/>
      <c r="E3" s="123"/>
      <c r="F3" s="123"/>
      <c r="G3" s="126"/>
      <c r="H3" s="125"/>
      <c r="I3" s="125"/>
      <c r="J3" s="125"/>
      <c r="K3" s="7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5" s="17" customFormat="1" ht="6.75" customHeight="1" x14ac:dyDescent="0.3">
      <c r="A4" s="74"/>
      <c r="B4" s="74"/>
      <c r="C4" s="74"/>
      <c r="D4" s="123"/>
      <c r="E4" s="123"/>
      <c r="F4" s="123"/>
      <c r="G4" s="126"/>
      <c r="H4" s="125"/>
      <c r="I4" s="125"/>
      <c r="J4" s="125"/>
      <c r="K4" s="7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5" s="18" customFormat="1" ht="12" customHeight="1" x14ac:dyDescent="0.2">
      <c r="A5" s="80"/>
      <c r="B5" s="80"/>
      <c r="C5" s="80"/>
      <c r="D5" s="127"/>
      <c r="E5" s="127"/>
      <c r="F5" s="127"/>
      <c r="G5" s="127"/>
      <c r="H5" s="128"/>
      <c r="I5" s="156"/>
      <c r="J5" s="157" t="str">
        <f>Rénovation!J5</f>
        <v>Version 01/2019</v>
      </c>
      <c r="K5" s="80"/>
      <c r="L5" s="7"/>
      <c r="M5" s="14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75" ht="3" customHeight="1" x14ac:dyDescent="0.2">
      <c r="A6" s="74"/>
      <c r="B6" s="74"/>
      <c r="C6" s="74"/>
      <c r="D6" s="74"/>
      <c r="E6" s="74"/>
      <c r="F6" s="74"/>
      <c r="G6" s="74"/>
      <c r="H6" s="86"/>
      <c r="I6" s="73"/>
      <c r="J6" s="158"/>
      <c r="K6" s="74"/>
      <c r="L6" s="1"/>
      <c r="M6" s="1"/>
    </row>
    <row r="7" spans="1:75" s="16" customFormat="1" ht="18.75" x14ac:dyDescent="0.3">
      <c r="A7" s="85"/>
      <c r="B7" s="85"/>
      <c r="C7" s="121" t="s">
        <v>0</v>
      </c>
      <c r="D7" s="97"/>
      <c r="E7" s="97"/>
      <c r="F7" s="97"/>
      <c r="G7" s="85"/>
      <c r="H7" s="98"/>
      <c r="I7" s="159">
        <f ca="1">TODAY()</f>
        <v>43479</v>
      </c>
      <c r="J7" s="159"/>
      <c r="K7" s="85"/>
      <c r="L7" s="15"/>
      <c r="M7" s="145"/>
      <c r="N7" s="14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</row>
    <row r="8" spans="1:75" ht="2.25" customHeight="1" x14ac:dyDescent="0.2">
      <c r="A8" s="74"/>
      <c r="B8" s="99"/>
      <c r="C8" s="99"/>
      <c r="D8" s="99"/>
      <c r="E8" s="99"/>
      <c r="F8" s="99"/>
      <c r="G8" s="99"/>
      <c r="H8" s="100"/>
      <c r="I8" s="100"/>
      <c r="J8" s="100"/>
      <c r="K8" s="74"/>
      <c r="L8" s="1"/>
      <c r="M8" s="1"/>
    </row>
    <row r="9" spans="1:75" ht="11.25" customHeight="1" x14ac:dyDescent="0.2">
      <c r="A9" s="1"/>
      <c r="B9" s="1"/>
      <c r="H9" s="11"/>
      <c r="K9" s="1"/>
      <c r="L9" s="1"/>
      <c r="M9" s="1"/>
    </row>
    <row r="10" spans="1:75" ht="13.5" customHeight="1" x14ac:dyDescent="0.2">
      <c r="A10" s="1"/>
      <c r="B10" s="1"/>
      <c r="H10" s="11"/>
      <c r="K10" s="1"/>
      <c r="L10" s="1"/>
      <c r="M10" s="1"/>
    </row>
    <row r="11" spans="1:75" ht="15" x14ac:dyDescent="0.2">
      <c r="A11" s="1"/>
      <c r="B11" s="1"/>
      <c r="C11" s="122" t="s">
        <v>1</v>
      </c>
      <c r="D11" s="148"/>
      <c r="E11" s="149"/>
      <c r="F11" s="149"/>
      <c r="G11" s="149"/>
      <c r="H11" s="149"/>
      <c r="I11" s="149"/>
      <c r="J11" s="150"/>
      <c r="K11" s="19"/>
      <c r="L11" s="5"/>
      <c r="M11" s="5"/>
      <c r="N11" s="7"/>
    </row>
    <row r="12" spans="1:75" ht="15" x14ac:dyDescent="0.2">
      <c r="A12" s="1"/>
      <c r="B12" s="1"/>
      <c r="C12" s="3"/>
      <c r="D12" s="148"/>
      <c r="E12" s="149"/>
      <c r="F12" s="149"/>
      <c r="G12" s="149"/>
      <c r="H12" s="149"/>
      <c r="I12" s="149"/>
      <c r="J12" s="150"/>
      <c r="K12" s="19"/>
      <c r="L12" s="5"/>
      <c r="M12" s="5"/>
      <c r="N12" s="7"/>
    </row>
    <row r="13" spans="1:75" ht="15" x14ac:dyDescent="0.2">
      <c r="A13" s="1"/>
      <c r="B13" s="1"/>
      <c r="C13" s="5"/>
      <c r="D13" s="148"/>
      <c r="E13" s="149"/>
      <c r="F13" s="149"/>
      <c r="G13" s="149"/>
      <c r="H13" s="149"/>
      <c r="I13" s="149"/>
      <c r="J13" s="150"/>
      <c r="K13" s="19"/>
      <c r="L13" s="5"/>
      <c r="M13" s="5"/>
      <c r="N13" s="7"/>
    </row>
    <row r="14" spans="1:75" ht="9" customHeight="1" x14ac:dyDescent="0.2">
      <c r="A14" s="1"/>
      <c r="B14" s="1"/>
      <c r="G14" s="4"/>
      <c r="H14" s="12"/>
      <c r="I14" s="9"/>
      <c r="J14" s="12"/>
      <c r="K14" s="5"/>
      <c r="L14" s="5"/>
      <c r="M14" s="5"/>
      <c r="N14" s="5"/>
    </row>
    <row r="15" spans="1:75" ht="9" customHeight="1" x14ac:dyDescent="0.2">
      <c r="A15" s="1"/>
      <c r="B15" s="1"/>
      <c r="G15" s="4"/>
      <c r="H15" s="12"/>
      <c r="I15" s="9"/>
      <c r="J15" s="12"/>
      <c r="K15" s="5"/>
      <c r="L15" s="5"/>
      <c r="M15" s="5"/>
      <c r="N15" s="5"/>
    </row>
    <row r="16" spans="1:75" ht="18.75" x14ac:dyDescent="0.3">
      <c r="A16" s="78"/>
      <c r="B16" s="6"/>
      <c r="C16" s="120" t="s">
        <v>185</v>
      </c>
      <c r="D16" s="10"/>
      <c r="E16" s="10"/>
      <c r="F16" s="10"/>
      <c r="H16" s="11"/>
      <c r="I16" s="13"/>
      <c r="J16" s="9"/>
      <c r="K16" s="7"/>
      <c r="L16" s="7"/>
      <c r="M16" s="7"/>
      <c r="BV16" s="1"/>
      <c r="BW16" s="1"/>
    </row>
    <row r="17" spans="1:75" ht="3" customHeight="1" x14ac:dyDescent="0.2">
      <c r="A17" s="6"/>
      <c r="B17" s="101"/>
      <c r="C17" s="99"/>
      <c r="D17" s="99"/>
      <c r="E17" s="99"/>
      <c r="F17" s="99"/>
      <c r="G17" s="99"/>
      <c r="H17" s="100"/>
      <c r="I17" s="100"/>
      <c r="J17" s="100"/>
      <c r="K17" s="8"/>
      <c r="L17" s="7"/>
      <c r="M17" s="7"/>
      <c r="BV17" s="1"/>
      <c r="BW17" s="1"/>
    </row>
    <row r="18" spans="1:75" ht="9" customHeight="1" x14ac:dyDescent="0.2">
      <c r="A18" s="1"/>
      <c r="I18" s="9"/>
      <c r="J18" s="9"/>
      <c r="K18" s="20"/>
      <c r="L18" s="20"/>
      <c r="M18" s="20"/>
      <c r="BV18" s="1"/>
      <c r="BW18" s="1"/>
    </row>
    <row r="19" spans="1:75" ht="15.75" x14ac:dyDescent="0.25">
      <c r="A19" s="1"/>
      <c r="C19" s="21" t="s">
        <v>3</v>
      </c>
      <c r="E19" s="21" t="s">
        <v>4</v>
      </c>
      <c r="G19" s="21" t="s">
        <v>160</v>
      </c>
      <c r="J19" s="9"/>
      <c r="K19" s="20"/>
      <c r="L19" s="20"/>
      <c r="M19" s="20"/>
      <c r="BV19" s="1"/>
      <c r="BW19" s="1"/>
    </row>
    <row r="20" spans="1:75" s="22" customFormat="1" ht="18" x14ac:dyDescent="0.25">
      <c r="A20" s="27"/>
      <c r="C20" s="106" t="s">
        <v>184</v>
      </c>
      <c r="D20" s="23"/>
      <c r="E20" s="106" t="s">
        <v>161</v>
      </c>
      <c r="G20" s="129">
        <f>'calculs neuf'!C114</f>
        <v>-10</v>
      </c>
      <c r="H20" s="24"/>
      <c r="J20" s="25"/>
      <c r="K20" s="26"/>
      <c r="L20" s="26"/>
      <c r="M20" s="26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</row>
    <row r="21" spans="1:75" ht="18" customHeight="1" x14ac:dyDescent="0.2">
      <c r="A21" s="1"/>
      <c r="C21" s="28"/>
      <c r="D21" s="29"/>
      <c r="E21" s="29"/>
      <c r="F21" s="29"/>
      <c r="I21" s="9"/>
      <c r="J21" s="9"/>
      <c r="K21" s="20"/>
      <c r="L21" s="30"/>
      <c r="M21" s="20"/>
      <c r="BV21" s="1"/>
      <c r="BW21" s="1"/>
    </row>
    <row r="22" spans="1:75" ht="18.75" x14ac:dyDescent="0.3">
      <c r="A22" s="78"/>
      <c r="B22" s="6"/>
      <c r="C22" s="120" t="s">
        <v>186</v>
      </c>
      <c r="D22" s="10"/>
      <c r="E22" s="10"/>
      <c r="F22" s="10"/>
      <c r="H22" s="11"/>
      <c r="I22" s="13"/>
      <c r="J22" s="9"/>
      <c r="K22" s="7"/>
      <c r="L22" s="7"/>
      <c r="M22" s="7"/>
      <c r="BV22" s="1"/>
      <c r="BW22" s="1"/>
    </row>
    <row r="23" spans="1:75" ht="3" customHeight="1" x14ac:dyDescent="0.2">
      <c r="A23" s="6"/>
      <c r="B23" s="101"/>
      <c r="C23" s="99"/>
      <c r="D23" s="99"/>
      <c r="E23" s="99"/>
      <c r="F23" s="99"/>
      <c r="G23" s="99"/>
      <c r="H23" s="100"/>
      <c r="I23" s="100"/>
      <c r="J23" s="100"/>
      <c r="K23" s="8"/>
      <c r="L23" s="7"/>
      <c r="M23" s="7"/>
      <c r="BV23" s="1"/>
      <c r="BW23" s="1"/>
    </row>
    <row r="24" spans="1:75" ht="9" customHeight="1" x14ac:dyDescent="0.2">
      <c r="A24" s="1"/>
      <c r="I24" s="9"/>
      <c r="J24" s="9"/>
      <c r="K24" s="20"/>
      <c r="L24" s="20"/>
      <c r="M24" s="20"/>
      <c r="BV24" s="1"/>
      <c r="BW24" s="1"/>
    </row>
    <row r="25" spans="1:75" ht="18" customHeight="1" x14ac:dyDescent="0.25">
      <c r="A25" s="1"/>
      <c r="C25" s="21" t="s">
        <v>152</v>
      </c>
      <c r="D25" s="29"/>
      <c r="E25" s="21" t="s">
        <v>215</v>
      </c>
      <c r="G25" s="21" t="s">
        <v>331</v>
      </c>
      <c r="J25" s="9"/>
      <c r="K25" s="20"/>
      <c r="L25" s="30"/>
      <c r="M25" s="20"/>
      <c r="BV25" s="1"/>
      <c r="BW25" s="1"/>
    </row>
    <row r="26" spans="1:75" ht="15.75" x14ac:dyDescent="0.25">
      <c r="A26" s="1"/>
      <c r="C26" s="106">
        <v>150</v>
      </c>
      <c r="D26" s="29"/>
      <c r="E26" s="106">
        <v>2.5</v>
      </c>
      <c r="F26" s="130"/>
      <c r="G26" s="151" t="s">
        <v>188</v>
      </c>
      <c r="H26" s="152"/>
      <c r="J26" s="9"/>
      <c r="K26" s="20"/>
      <c r="L26" s="30"/>
      <c r="M26" s="20"/>
      <c r="BV26" s="1"/>
      <c r="BW26" s="1"/>
    </row>
    <row r="27" spans="1:75" ht="11.25" customHeight="1" x14ac:dyDescent="0.25">
      <c r="A27" s="1"/>
      <c r="C27" s="21"/>
      <c r="D27" s="29"/>
      <c r="E27" s="31"/>
      <c r="F27" s="130"/>
      <c r="G27" s="131"/>
      <c r="H27" s="130"/>
      <c r="I27" s="9"/>
      <c r="J27" s="9"/>
      <c r="K27" s="20"/>
      <c r="L27" s="30"/>
      <c r="M27" s="20"/>
    </row>
    <row r="28" spans="1:75" ht="17.25" customHeight="1" x14ac:dyDescent="0.25">
      <c r="A28" s="1"/>
      <c r="C28" s="21" t="s">
        <v>175</v>
      </c>
      <c r="D28" s="29"/>
      <c r="E28" s="21" t="s">
        <v>192</v>
      </c>
      <c r="F28" s="130"/>
      <c r="G28" s="131"/>
      <c r="H28" s="130"/>
      <c r="I28" s="9"/>
      <c r="J28" s="9"/>
      <c r="K28" s="20"/>
      <c r="L28" s="30"/>
      <c r="M28" s="20"/>
    </row>
    <row r="29" spans="1:75" ht="15.75" customHeight="1" x14ac:dyDescent="0.25">
      <c r="A29" s="1"/>
      <c r="C29" s="106">
        <v>4</v>
      </c>
      <c r="D29" s="29"/>
      <c r="E29" s="106" t="s">
        <v>333</v>
      </c>
      <c r="F29" s="130"/>
      <c r="G29" s="131"/>
      <c r="H29" s="130"/>
      <c r="I29" s="9"/>
      <c r="J29" s="9"/>
      <c r="K29" s="20"/>
      <c r="L29" s="30"/>
      <c r="M29" s="20"/>
    </row>
    <row r="30" spans="1:75" ht="7.5" customHeight="1" x14ac:dyDescent="0.25">
      <c r="A30" s="1"/>
      <c r="C30" s="21"/>
      <c r="D30" s="29"/>
      <c r="E30" s="31"/>
      <c r="F30" s="130"/>
      <c r="G30" s="131"/>
      <c r="H30" s="130"/>
      <c r="I30" s="9"/>
      <c r="J30" s="9"/>
      <c r="K30" s="20"/>
      <c r="L30" s="30"/>
      <c r="M30" s="20"/>
    </row>
    <row r="31" spans="1:75" ht="18" customHeight="1" x14ac:dyDescent="0.25">
      <c r="A31" s="1"/>
      <c r="C31" s="21" t="s">
        <v>315</v>
      </c>
      <c r="D31" s="131"/>
      <c r="E31" s="21" t="s">
        <v>159</v>
      </c>
      <c r="F31" s="130"/>
      <c r="G31" s="131"/>
      <c r="H31" s="130"/>
      <c r="I31" s="9"/>
      <c r="J31" s="9"/>
      <c r="K31" s="20"/>
      <c r="L31" s="30"/>
      <c r="M31" s="20"/>
    </row>
    <row r="32" spans="1:75" ht="18" customHeight="1" x14ac:dyDescent="0.25">
      <c r="A32" s="1"/>
      <c r="C32" s="106">
        <v>20</v>
      </c>
      <c r="D32" s="131"/>
      <c r="E32" s="129">
        <f>'calculs neuf'!C118</f>
        <v>10.1</v>
      </c>
      <c r="F32" s="130"/>
      <c r="G32" s="131"/>
      <c r="H32" s="130"/>
      <c r="I32" s="9"/>
      <c r="J32" s="9"/>
      <c r="K32" s="20"/>
      <c r="L32" s="30"/>
      <c r="M32" s="20"/>
    </row>
    <row r="33" spans="1:75" ht="10.5" customHeight="1" x14ac:dyDescent="0.25">
      <c r="A33" s="1"/>
      <c r="C33" s="21"/>
      <c r="D33" s="29"/>
      <c r="E33" s="21"/>
      <c r="F33" s="130"/>
      <c r="G33" s="131"/>
      <c r="H33" s="130"/>
      <c r="I33" s="9"/>
      <c r="J33" s="9"/>
      <c r="K33" s="20"/>
      <c r="L33" s="30"/>
      <c r="M33" s="20"/>
    </row>
    <row r="34" spans="1:75" ht="17.25" customHeight="1" x14ac:dyDescent="0.25">
      <c r="A34" s="1"/>
      <c r="C34" s="21" t="s">
        <v>266</v>
      </c>
      <c r="D34" s="29"/>
      <c r="E34" s="21" t="s">
        <v>335</v>
      </c>
      <c r="F34" s="130"/>
      <c r="G34" s="21" t="s">
        <v>336</v>
      </c>
      <c r="H34" s="130"/>
      <c r="I34" s="9"/>
      <c r="J34" s="9"/>
      <c r="K34" s="20"/>
      <c r="L34" s="30"/>
      <c r="M34" s="20"/>
    </row>
    <row r="35" spans="1:75" ht="18" customHeight="1" x14ac:dyDescent="0.25">
      <c r="A35" s="1"/>
      <c r="C35" s="129">
        <f>'calculs neuf'!C121</f>
        <v>3811</v>
      </c>
      <c r="D35" s="29"/>
      <c r="E35" s="129">
        <f>'calculs neuf'!C119</f>
        <v>19097</v>
      </c>
      <c r="F35" s="130"/>
      <c r="G35" s="129">
        <f>'calculs neuf'!C122</f>
        <v>22908</v>
      </c>
      <c r="H35" s="130"/>
      <c r="I35" s="9"/>
      <c r="J35" s="9"/>
      <c r="K35" s="20"/>
      <c r="L35" s="30"/>
      <c r="M35" s="20"/>
    </row>
    <row r="36" spans="1:75" ht="18" customHeight="1" x14ac:dyDescent="0.25">
      <c r="A36" s="1"/>
      <c r="C36" s="21"/>
      <c r="D36" s="29"/>
      <c r="E36" s="29"/>
      <c r="F36" s="29"/>
      <c r="G36" s="15"/>
      <c r="H36" s="130"/>
      <c r="I36" s="9"/>
      <c r="J36" s="9"/>
      <c r="K36" s="20"/>
      <c r="L36" s="30"/>
      <c r="M36" s="20"/>
    </row>
    <row r="37" spans="1:75" ht="18" customHeight="1" x14ac:dyDescent="0.3">
      <c r="A37" s="1"/>
      <c r="C37" s="120" t="s">
        <v>317</v>
      </c>
      <c r="D37" s="29"/>
      <c r="E37" s="29"/>
      <c r="F37" s="29"/>
      <c r="G37" s="15"/>
      <c r="I37" s="9"/>
      <c r="J37" s="9"/>
      <c r="K37" s="20"/>
      <c r="L37" s="30"/>
      <c r="M37" s="20"/>
    </row>
    <row r="38" spans="1:75" ht="3" customHeight="1" x14ac:dyDescent="0.25">
      <c r="A38" s="1"/>
      <c r="B38" s="99"/>
      <c r="C38" s="102"/>
      <c r="D38" s="103"/>
      <c r="E38" s="103"/>
      <c r="F38" s="103"/>
      <c r="G38" s="104"/>
      <c r="H38" s="100"/>
      <c r="I38" s="105"/>
      <c r="J38" s="105"/>
      <c r="K38" s="20"/>
      <c r="L38" s="30"/>
      <c r="M38" s="20"/>
    </row>
    <row r="39" spans="1:75" ht="9" customHeight="1" x14ac:dyDescent="0.25">
      <c r="A39" s="1"/>
      <c r="C39" s="21"/>
      <c r="D39" s="29"/>
      <c r="E39" s="29"/>
      <c r="F39" s="29"/>
      <c r="G39" s="15"/>
      <c r="I39" s="9"/>
      <c r="J39" s="9"/>
      <c r="K39" s="20"/>
      <c r="L39" s="30"/>
      <c r="M39" s="20"/>
    </row>
    <row r="40" spans="1:75" ht="18" customHeight="1" x14ac:dyDescent="0.25">
      <c r="A40" s="1"/>
      <c r="C40" s="21" t="s">
        <v>323</v>
      </c>
      <c r="E40" s="21" t="s">
        <v>318</v>
      </c>
      <c r="F40" s="29"/>
      <c r="G40" s="21" t="s">
        <v>319</v>
      </c>
      <c r="I40" s="9"/>
      <c r="J40" s="9"/>
      <c r="K40" s="20"/>
      <c r="L40" s="30"/>
      <c r="M40" s="20"/>
    </row>
    <row r="41" spans="1:75" ht="18" customHeight="1" x14ac:dyDescent="0.25">
      <c r="A41" s="1"/>
      <c r="C41" s="106" t="s">
        <v>325</v>
      </c>
      <c r="D41" s="130"/>
      <c r="E41" s="106">
        <v>60</v>
      </c>
      <c r="F41" s="29"/>
      <c r="G41" s="106">
        <v>20</v>
      </c>
      <c r="I41" s="9"/>
      <c r="J41" s="9"/>
      <c r="K41" s="20"/>
      <c r="L41" s="30"/>
      <c r="M41" s="20"/>
    </row>
    <row r="42" spans="1:75" ht="18" customHeight="1" x14ac:dyDescent="0.25">
      <c r="A42" s="1"/>
      <c r="C42" s="21"/>
      <c r="D42" s="29"/>
      <c r="E42" s="29"/>
      <c r="F42" s="29"/>
      <c r="G42" s="15"/>
      <c r="I42" s="9"/>
      <c r="J42" s="9"/>
      <c r="K42" s="20"/>
      <c r="L42" s="30"/>
      <c r="M42" s="20"/>
    </row>
    <row r="43" spans="1:75" ht="18.75" x14ac:dyDescent="0.3">
      <c r="A43" s="78"/>
      <c r="B43" s="6"/>
      <c r="C43" s="120" t="s">
        <v>174</v>
      </c>
      <c r="D43" s="10"/>
      <c r="E43" s="10"/>
      <c r="F43" s="10"/>
      <c r="H43" s="11"/>
      <c r="I43" s="13"/>
      <c r="J43" s="9"/>
      <c r="K43" s="7"/>
      <c r="L43" s="7"/>
      <c r="M43" s="7"/>
      <c r="BV43" s="1"/>
      <c r="BW43" s="1"/>
    </row>
    <row r="44" spans="1:75" ht="3" customHeight="1" x14ac:dyDescent="0.2">
      <c r="A44" s="6"/>
      <c r="B44" s="101"/>
      <c r="C44" s="99"/>
      <c r="D44" s="99"/>
      <c r="E44" s="99"/>
      <c r="F44" s="99"/>
      <c r="G44" s="99"/>
      <c r="H44" s="100"/>
      <c r="I44" s="100"/>
      <c r="J44" s="100"/>
      <c r="K44" s="8"/>
      <c r="L44" s="7"/>
      <c r="M44" s="7"/>
      <c r="BV44" s="1"/>
      <c r="BW44" s="1"/>
    </row>
    <row r="45" spans="1:75" ht="9" customHeight="1" x14ac:dyDescent="0.25">
      <c r="A45" s="1"/>
      <c r="C45" s="21"/>
      <c r="D45" s="29"/>
      <c r="E45" s="29"/>
      <c r="F45" s="29"/>
      <c r="G45" s="15"/>
      <c r="I45" s="9"/>
      <c r="J45" s="9"/>
      <c r="K45" s="20"/>
      <c r="L45" s="30"/>
      <c r="M45" s="20"/>
    </row>
    <row r="46" spans="1:75" ht="18" customHeight="1" x14ac:dyDescent="0.25">
      <c r="A46" s="1"/>
      <c r="C46" s="48" t="s">
        <v>218</v>
      </c>
      <c r="D46" s="29"/>
      <c r="E46" s="29"/>
      <c r="F46" s="29"/>
      <c r="G46" s="21"/>
      <c r="J46" s="9"/>
      <c r="K46" s="20"/>
      <c r="L46" s="30"/>
      <c r="M46" s="20"/>
    </row>
    <row r="47" spans="1:75" ht="15" x14ac:dyDescent="0.2">
      <c r="A47" s="1"/>
      <c r="C47" s="16"/>
      <c r="D47" s="29"/>
      <c r="E47" s="15"/>
      <c r="F47" s="15"/>
      <c r="J47" s="9"/>
      <c r="K47" s="20"/>
      <c r="L47" s="30"/>
      <c r="M47" s="20"/>
    </row>
    <row r="48" spans="1:75" s="52" customFormat="1" ht="49.5" customHeight="1" x14ac:dyDescent="0.2">
      <c r="A48" s="56"/>
      <c r="C48" s="132" t="s">
        <v>209</v>
      </c>
      <c r="D48" s="133" t="s">
        <v>229</v>
      </c>
      <c r="E48" s="133" t="s">
        <v>235</v>
      </c>
      <c r="F48" s="133" t="s">
        <v>297</v>
      </c>
      <c r="G48" s="133" t="s">
        <v>329</v>
      </c>
      <c r="H48" s="133" t="s">
        <v>321</v>
      </c>
      <c r="I48" s="133" t="s">
        <v>322</v>
      </c>
      <c r="J48" s="53"/>
      <c r="K48" s="54"/>
      <c r="L48" s="55"/>
      <c r="M48" s="54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</row>
    <row r="49" spans="1:75" ht="15" x14ac:dyDescent="0.2">
      <c r="A49" s="1"/>
      <c r="C49" s="117" t="s">
        <v>208</v>
      </c>
      <c r="D49" s="118">
        <v>1</v>
      </c>
      <c r="E49" s="116">
        <f>'calculs neuf'!E132</f>
        <v>468.75300000000004</v>
      </c>
      <c r="F49" s="116">
        <f>'calculs neuf'!F132</f>
        <v>2887.887666666667</v>
      </c>
      <c r="G49" s="116">
        <f>'calculs neuf'!G132</f>
        <v>3356.6406666666671</v>
      </c>
      <c r="H49" s="116">
        <f>'calculs neuf'!H132</f>
        <v>3075.3888666666671</v>
      </c>
      <c r="I49" s="116">
        <f>'calculs neuf'!I132</f>
        <v>2516.4833333333336</v>
      </c>
      <c r="J49" s="9"/>
      <c r="K49" s="20"/>
      <c r="L49" s="30"/>
      <c r="M49" s="20"/>
    </row>
    <row r="50" spans="1:75" ht="15" x14ac:dyDescent="0.2">
      <c r="A50" s="1"/>
      <c r="C50" s="117" t="s">
        <v>340</v>
      </c>
      <c r="D50" s="119" t="s">
        <v>339</v>
      </c>
      <c r="E50" s="116">
        <f>'calculs neuf'!E133</f>
        <v>468.75300000000004</v>
      </c>
      <c r="F50" s="116">
        <f>'calculs neuf'!F133</f>
        <v>869.47647619047621</v>
      </c>
      <c r="G50" s="116">
        <f>'calculs neuf'!G133</f>
        <v>1338.2294761904764</v>
      </c>
      <c r="H50" s="116">
        <f>'calculs neuf'!H133</f>
        <v>1056.9776761904764</v>
      </c>
      <c r="I50" s="116">
        <f>'calculs neuf'!I133</f>
        <v>897.29038095238116</v>
      </c>
      <c r="J50" s="9"/>
      <c r="K50" s="20"/>
      <c r="L50" s="30"/>
      <c r="M50" s="20"/>
    </row>
    <row r="51" spans="1:75" ht="15" x14ac:dyDescent="0.2">
      <c r="A51" s="1"/>
      <c r="C51" s="117" t="s">
        <v>273</v>
      </c>
      <c r="D51" s="119" t="s">
        <v>280</v>
      </c>
      <c r="E51" s="116">
        <f>'calculs neuf'!E134</f>
        <v>468.75300000000004</v>
      </c>
      <c r="F51" s="116">
        <f>'calculs neuf'!F134</f>
        <v>745.55191666666678</v>
      </c>
      <c r="G51" s="116">
        <f>'calculs neuf'!G134</f>
        <v>1214.3049166666669</v>
      </c>
      <c r="H51" s="116">
        <f>'calculs neuf'!H134</f>
        <v>933.05311666666682</v>
      </c>
      <c r="I51" s="116">
        <f>'calculs neuf'!I134</f>
        <v>793.32673333333332</v>
      </c>
      <c r="J51" s="9"/>
      <c r="K51" s="20"/>
      <c r="L51" s="30"/>
      <c r="M51" s="20"/>
    </row>
    <row r="52" spans="1:75" ht="15" x14ac:dyDescent="0.2">
      <c r="A52" s="1"/>
      <c r="C52" s="117" t="s">
        <v>210</v>
      </c>
      <c r="D52" s="118">
        <v>0.85</v>
      </c>
      <c r="E52" s="116">
        <f>'calculs neuf'!E135</f>
        <v>156.92352941176472</v>
      </c>
      <c r="F52" s="116">
        <f>'calculs neuf'!F135</f>
        <v>786.34705882352944</v>
      </c>
      <c r="G52" s="116">
        <f>'calculs neuf'!G135</f>
        <v>943.2705882352941</v>
      </c>
      <c r="H52" s="116">
        <f>'calculs neuf'!H135</f>
        <v>849.1164705882353</v>
      </c>
      <c r="I52" s="116">
        <f>'calculs neuf'!I135</f>
        <v>691.84705882352944</v>
      </c>
      <c r="J52" s="9"/>
      <c r="K52" s="20"/>
      <c r="L52" s="30"/>
      <c r="M52" s="20"/>
    </row>
    <row r="53" spans="1:75" ht="15" x14ac:dyDescent="0.2">
      <c r="A53" s="1"/>
      <c r="C53" s="117" t="s">
        <v>211</v>
      </c>
      <c r="D53" s="118">
        <v>0.85</v>
      </c>
      <c r="E53" s="116">
        <f>'calculs neuf'!E136</f>
        <v>259.85789215686276</v>
      </c>
      <c r="F53" s="116">
        <f>'calculs neuf'!F136</f>
        <v>1302.1532843137256</v>
      </c>
      <c r="G53" s="116">
        <f>'calculs neuf'!G136</f>
        <v>1562.0111764705885</v>
      </c>
      <c r="H53" s="116">
        <f>'calculs neuf'!H136</f>
        <v>1406.0964411764708</v>
      </c>
      <c r="I53" s="116">
        <f>'calculs neuf'!I136</f>
        <v>1145.6657843137257</v>
      </c>
      <c r="J53" s="9"/>
      <c r="K53" s="20"/>
      <c r="L53" s="30"/>
      <c r="M53" s="20"/>
    </row>
    <row r="54" spans="1:75" ht="15" x14ac:dyDescent="0.2">
      <c r="A54" s="1"/>
      <c r="C54" s="117" t="s">
        <v>212</v>
      </c>
      <c r="D54" s="118" t="s">
        <v>278</v>
      </c>
      <c r="E54" s="116">
        <f>'calculs neuf'!E137</f>
        <v>247.46248725790008</v>
      </c>
      <c r="F54" s="116">
        <f>'calculs neuf'!F137</f>
        <v>1490.5696534148826</v>
      </c>
      <c r="G54" s="116">
        <f>'calculs neuf'!G137</f>
        <v>1738.0321406727826</v>
      </c>
      <c r="H54" s="116">
        <f>'calculs neuf'!H137</f>
        <v>1589.5546483180426</v>
      </c>
      <c r="I54" s="116">
        <f>'calculs neuf'!I137</f>
        <v>1341.546717635066</v>
      </c>
      <c r="J54" s="9"/>
      <c r="K54" s="20"/>
      <c r="L54" s="30"/>
      <c r="M54" s="20"/>
    </row>
    <row r="55" spans="1:75" ht="15" x14ac:dyDescent="0.2">
      <c r="A55" s="1"/>
      <c r="C55" s="117" t="s">
        <v>177</v>
      </c>
      <c r="D55" s="118">
        <v>0.93</v>
      </c>
      <c r="E55" s="116">
        <f>'calculs neuf'!E138</f>
        <v>290.03667861409792</v>
      </c>
      <c r="F55" s="116">
        <f>'calculs neuf'!F138</f>
        <v>1703.9098088410992</v>
      </c>
      <c r="G55" s="116">
        <f>'calculs neuf'!G138</f>
        <v>1993.9464874551973</v>
      </c>
      <c r="H55" s="116">
        <f>'calculs neuf'!H138</f>
        <v>1819.9244802867383</v>
      </c>
      <c r="I55" s="116">
        <f>'calculs neuf'!I138</f>
        <v>1529.2485185185185</v>
      </c>
      <c r="J55" s="9"/>
      <c r="K55" s="20"/>
      <c r="L55" s="30"/>
      <c r="M55" s="20"/>
    </row>
    <row r="56" spans="1:75" ht="15" x14ac:dyDescent="0.2">
      <c r="A56" s="1"/>
      <c r="C56" s="117" t="s">
        <v>213</v>
      </c>
      <c r="D56" s="118" t="s">
        <v>277</v>
      </c>
      <c r="E56" s="116">
        <f>'calculs neuf'!E139</f>
        <v>341.89067307692306</v>
      </c>
      <c r="F56" s="116">
        <f>'calculs neuf'!F139</f>
        <v>1713.2212500000001</v>
      </c>
      <c r="G56" s="116">
        <f>'calculs neuf'!G139</f>
        <v>2055.1119230769232</v>
      </c>
      <c r="H56" s="116">
        <f>'calculs neuf'!H139</f>
        <v>1849.9775192307693</v>
      </c>
      <c r="I56" s="116">
        <f>'calculs neuf'!I139</f>
        <v>1507.3332692307695</v>
      </c>
      <c r="J56" s="9"/>
      <c r="K56" s="20"/>
      <c r="L56" s="30"/>
      <c r="M56" s="20"/>
    </row>
    <row r="57" spans="1:75" ht="15" x14ac:dyDescent="0.2">
      <c r="A57" s="1"/>
      <c r="C57" s="117" t="s">
        <v>176</v>
      </c>
      <c r="D57" s="118">
        <v>0.93</v>
      </c>
      <c r="E57" s="116">
        <f>'calculs neuf'!E140</f>
        <v>382.32935483870972</v>
      </c>
      <c r="F57" s="116">
        <f>'calculs neuf'!F140</f>
        <v>1915.8603225806448</v>
      </c>
      <c r="G57" s="116">
        <f>'calculs neuf'!G140</f>
        <v>2298.1896774193547</v>
      </c>
      <c r="H57" s="116">
        <f>'calculs neuf'!H140</f>
        <v>2068.7920645161289</v>
      </c>
      <c r="I57" s="116">
        <f>'calculs neuf'!I140</f>
        <v>1685.6199999999997</v>
      </c>
      <c r="J57" s="9"/>
      <c r="K57" s="20"/>
      <c r="L57" s="30"/>
      <c r="M57" s="20"/>
    </row>
    <row r="58" spans="1:75" ht="15" x14ac:dyDescent="0.2">
      <c r="A58" s="1"/>
      <c r="C58" s="117" t="s">
        <v>214</v>
      </c>
      <c r="D58" s="118" t="s">
        <v>276</v>
      </c>
      <c r="E58" s="116">
        <f>'calculs neuf'!E141</f>
        <v>527.12897196261679</v>
      </c>
      <c r="F58" s="116">
        <f>'calculs neuf'!F141</f>
        <v>2641.4542056074761</v>
      </c>
      <c r="G58" s="116">
        <f>'calculs neuf'!G141</f>
        <v>3168.5831775700926</v>
      </c>
      <c r="H58" s="116">
        <f>'calculs neuf'!H141</f>
        <v>2852.3057943925228</v>
      </c>
      <c r="I58" s="116">
        <f>'calculs neuf'!I141</f>
        <v>2324.0149532710275</v>
      </c>
      <c r="J58" s="9"/>
      <c r="K58" s="20"/>
      <c r="L58" s="30"/>
      <c r="M58" s="20"/>
    </row>
    <row r="59" spans="1:75" ht="15" x14ac:dyDescent="0.2">
      <c r="A59" s="1"/>
      <c r="C59" s="117" t="s">
        <v>178</v>
      </c>
      <c r="D59" s="118">
        <v>0.93</v>
      </c>
      <c r="E59" s="116">
        <f>'calculs neuf'!E142</f>
        <v>606.48172043010754</v>
      </c>
      <c r="F59" s="116">
        <f>'calculs neuf'!F142</f>
        <v>3039.0924731182795</v>
      </c>
      <c r="G59" s="116">
        <f>'calculs neuf'!G142</f>
        <v>3645.574193548387</v>
      </c>
      <c r="H59" s="116">
        <f>'calculs neuf'!H142</f>
        <v>3281.6851612903224</v>
      </c>
      <c r="I59" s="116">
        <f>'calculs neuf'!I142</f>
        <v>2673.8666666666663</v>
      </c>
      <c r="J59" s="9"/>
      <c r="L59" s="30"/>
      <c r="M59" s="20"/>
    </row>
    <row r="60" spans="1:75" x14ac:dyDescent="0.2">
      <c r="A60" s="1"/>
      <c r="C60" s="66" t="s">
        <v>320</v>
      </c>
      <c r="J60" s="9"/>
      <c r="K60" s="20"/>
      <c r="L60" s="30"/>
      <c r="M60" s="20"/>
    </row>
    <row r="61" spans="1:75" ht="15" x14ac:dyDescent="0.2">
      <c r="A61" s="1"/>
      <c r="C61" s="32"/>
      <c r="D61" s="29"/>
      <c r="E61" s="29"/>
      <c r="F61" s="29"/>
      <c r="G61" s="15"/>
      <c r="I61" s="9"/>
      <c r="J61" s="9"/>
      <c r="K61" s="20"/>
      <c r="L61" s="30"/>
      <c r="M61" s="20"/>
    </row>
    <row r="62" spans="1:75" s="1" customFormat="1" x14ac:dyDescent="0.2">
      <c r="D62" s="8"/>
      <c r="E62" s="8"/>
      <c r="F62" s="8"/>
      <c r="H62" s="8"/>
      <c r="I62" s="8"/>
      <c r="J62" s="8"/>
      <c r="K62" s="33"/>
      <c r="L62" s="33"/>
      <c r="M62" s="33"/>
      <c r="BV62" s="2"/>
      <c r="BW62" s="2"/>
    </row>
    <row r="63" spans="1:75" s="1" customFormat="1" x14ac:dyDescent="0.2">
      <c r="D63" s="8"/>
      <c r="E63" s="8"/>
      <c r="F63" s="8"/>
      <c r="H63" s="8"/>
      <c r="I63" s="8"/>
      <c r="J63" s="8"/>
      <c r="K63" s="33"/>
      <c r="L63" s="33"/>
      <c r="M63" s="33"/>
      <c r="BV63" s="2"/>
      <c r="BW63" s="2"/>
    </row>
    <row r="64" spans="1:75" s="1" customFormat="1" x14ac:dyDescent="0.2">
      <c r="D64" s="8"/>
      <c r="E64" s="8"/>
      <c r="F64" s="8"/>
      <c r="H64" s="8"/>
      <c r="I64" s="8"/>
      <c r="J64" s="8"/>
      <c r="K64" s="33"/>
      <c r="L64" s="33"/>
      <c r="M64" s="33"/>
      <c r="BV64" s="2"/>
      <c r="BW64" s="2"/>
    </row>
    <row r="65" spans="4:75" s="1" customFormat="1" x14ac:dyDescent="0.2">
      <c r="D65" s="8"/>
      <c r="E65" s="8"/>
      <c r="F65" s="8"/>
      <c r="H65" s="8"/>
      <c r="I65" s="8"/>
      <c r="J65" s="8"/>
      <c r="K65" s="33"/>
      <c r="L65" s="33"/>
      <c r="M65" s="33"/>
      <c r="BV65" s="2"/>
      <c r="BW65" s="2"/>
    </row>
    <row r="66" spans="4:75" s="1" customFormat="1" x14ac:dyDescent="0.2">
      <c r="H66" s="8"/>
      <c r="I66" s="8"/>
      <c r="J66" s="8"/>
      <c r="K66" s="33"/>
      <c r="L66" s="33"/>
      <c r="M66" s="33"/>
      <c r="BV66" s="2"/>
      <c r="BW66" s="2"/>
    </row>
    <row r="67" spans="4:75" s="1" customFormat="1" x14ac:dyDescent="0.2">
      <c r="D67" s="8"/>
      <c r="E67" s="8"/>
      <c r="F67" s="8"/>
      <c r="H67" s="8"/>
      <c r="I67" s="8"/>
      <c r="J67" s="8"/>
      <c r="K67" s="33"/>
      <c r="L67" s="33"/>
      <c r="M67" s="33"/>
      <c r="BV67" s="2"/>
      <c r="BW67" s="2"/>
    </row>
    <row r="68" spans="4:75" s="1" customFormat="1" x14ac:dyDescent="0.2">
      <c r="D68" s="8"/>
      <c r="E68" s="8"/>
      <c r="F68" s="8"/>
      <c r="H68" s="8"/>
      <c r="I68" s="8"/>
      <c r="J68" s="8"/>
      <c r="K68" s="33"/>
      <c r="L68" s="33"/>
      <c r="M68" s="33"/>
      <c r="BV68" s="2"/>
      <c r="BW68" s="2"/>
    </row>
    <row r="69" spans="4:75" s="1" customFormat="1" x14ac:dyDescent="0.2">
      <c r="D69" s="8"/>
      <c r="E69" s="8"/>
      <c r="F69" s="8"/>
      <c r="H69" s="8"/>
      <c r="I69" s="8"/>
      <c r="J69" s="8"/>
      <c r="K69" s="33"/>
      <c r="L69" s="33"/>
      <c r="M69" s="33"/>
      <c r="BV69" s="2"/>
      <c r="BW69" s="2"/>
    </row>
    <row r="70" spans="4:75" s="1" customFormat="1" x14ac:dyDescent="0.2">
      <c r="D70" s="8"/>
      <c r="E70" s="8"/>
      <c r="F70" s="8"/>
      <c r="H70" s="8"/>
      <c r="I70" s="8"/>
      <c r="J70" s="8"/>
      <c r="K70" s="33"/>
      <c r="L70" s="33"/>
      <c r="M70" s="33"/>
      <c r="BV70" s="2"/>
      <c r="BW70" s="2"/>
    </row>
    <row r="71" spans="4:75" s="1" customFormat="1" x14ac:dyDescent="0.2">
      <c r="D71" s="8"/>
      <c r="E71" s="8"/>
      <c r="F71" s="8"/>
      <c r="H71" s="8"/>
      <c r="I71" s="8"/>
      <c r="J71" s="8"/>
      <c r="K71" s="33"/>
      <c r="L71" s="33"/>
      <c r="M71" s="33"/>
      <c r="BV71" s="2"/>
      <c r="BW71" s="2"/>
    </row>
    <row r="72" spans="4:75" s="1" customFormat="1" x14ac:dyDescent="0.2">
      <c r="D72" s="8"/>
      <c r="E72" s="8"/>
      <c r="F72" s="8"/>
      <c r="H72" s="8"/>
      <c r="I72" s="8"/>
      <c r="J72" s="8"/>
      <c r="K72" s="33"/>
      <c r="L72" s="33"/>
      <c r="M72" s="33"/>
    </row>
    <row r="73" spans="4:75" s="1" customFormat="1" x14ac:dyDescent="0.2">
      <c r="D73" s="8"/>
      <c r="E73" s="8"/>
      <c r="F73" s="8"/>
      <c r="H73" s="8"/>
      <c r="I73" s="8"/>
      <c r="J73" s="8"/>
      <c r="K73" s="33"/>
      <c r="L73" s="33"/>
      <c r="M73" s="33"/>
    </row>
    <row r="74" spans="4:75" s="1" customFormat="1" x14ac:dyDescent="0.2">
      <c r="D74" s="8"/>
      <c r="E74" s="8"/>
      <c r="F74" s="8"/>
      <c r="H74" s="8"/>
      <c r="I74" s="8"/>
      <c r="J74" s="8"/>
      <c r="K74" s="33"/>
      <c r="L74" s="33"/>
      <c r="M74" s="33"/>
    </row>
    <row r="75" spans="4:75" s="1" customFormat="1" x14ac:dyDescent="0.2">
      <c r="D75" s="8"/>
      <c r="E75" s="8"/>
      <c r="F75" s="8"/>
      <c r="H75" s="8"/>
      <c r="I75" s="8"/>
      <c r="J75" s="8"/>
      <c r="K75" s="33"/>
      <c r="L75" s="33"/>
      <c r="M75" s="33"/>
    </row>
    <row r="76" spans="4:75" s="1" customFormat="1" x14ac:dyDescent="0.2">
      <c r="D76" s="8"/>
      <c r="E76" s="8"/>
      <c r="F76" s="8"/>
      <c r="H76" s="8"/>
      <c r="I76" s="8"/>
      <c r="J76" s="8"/>
      <c r="K76" s="33"/>
      <c r="L76" s="33"/>
      <c r="M76" s="33"/>
    </row>
    <row r="77" spans="4:75" s="1" customFormat="1" x14ac:dyDescent="0.2">
      <c r="D77" s="8"/>
      <c r="E77" s="8"/>
      <c r="F77" s="8"/>
      <c r="H77" s="8"/>
      <c r="I77" s="8"/>
      <c r="J77" s="8"/>
      <c r="K77" s="33"/>
      <c r="L77" s="33"/>
      <c r="M77" s="33"/>
    </row>
    <row r="78" spans="4:75" s="1" customFormat="1" x14ac:dyDescent="0.2">
      <c r="D78" s="8"/>
      <c r="E78" s="8"/>
      <c r="F78" s="8"/>
      <c r="H78" s="8"/>
      <c r="I78" s="8"/>
      <c r="J78" s="8"/>
      <c r="K78" s="33"/>
      <c r="L78" s="33"/>
      <c r="M78" s="33"/>
    </row>
    <row r="79" spans="4:75" s="1" customFormat="1" x14ac:dyDescent="0.2">
      <c r="D79" s="8"/>
      <c r="E79" s="8"/>
      <c r="F79" s="8"/>
      <c r="H79" s="8"/>
      <c r="I79" s="8"/>
      <c r="J79" s="8"/>
      <c r="K79" s="33"/>
      <c r="L79" s="33"/>
      <c r="M79" s="33"/>
    </row>
    <row r="80" spans="4:75" s="1" customFormat="1" x14ac:dyDescent="0.2">
      <c r="D80" s="8"/>
      <c r="E80" s="8"/>
      <c r="F80" s="8"/>
      <c r="H80" s="8"/>
      <c r="I80" s="8"/>
      <c r="J80" s="8"/>
      <c r="K80" s="33"/>
      <c r="L80" s="33"/>
      <c r="M80" s="33"/>
    </row>
    <row r="81" spans="1:75" s="1" customFormat="1" x14ac:dyDescent="0.2">
      <c r="D81" s="8"/>
      <c r="E81" s="8"/>
      <c r="F81" s="8"/>
      <c r="H81" s="8"/>
      <c r="I81" s="8"/>
      <c r="J81" s="8"/>
      <c r="K81" s="33"/>
      <c r="L81" s="33"/>
      <c r="M81" s="33"/>
    </row>
    <row r="82" spans="1:75" s="1" customFormat="1" x14ac:dyDescent="0.2">
      <c r="D82" s="8"/>
      <c r="E82" s="8"/>
      <c r="F82" s="8"/>
      <c r="H82" s="8"/>
      <c r="I82" s="8"/>
      <c r="J82" s="8"/>
      <c r="K82" s="33"/>
      <c r="L82" s="33"/>
      <c r="M82" s="33"/>
    </row>
    <row r="83" spans="1:75" s="1" customFormat="1" x14ac:dyDescent="0.2">
      <c r="D83" s="8"/>
      <c r="E83" s="8"/>
      <c r="F83" s="8"/>
      <c r="H83" s="8"/>
      <c r="I83" s="8"/>
      <c r="J83" s="8"/>
      <c r="K83" s="33"/>
      <c r="L83" s="33"/>
      <c r="M83" s="33"/>
      <c r="BV83" s="2"/>
      <c r="BW83" s="2"/>
    </row>
    <row r="84" spans="1:75" s="1" customFormat="1" x14ac:dyDescent="0.2">
      <c r="D84" s="8"/>
      <c r="E84" s="8"/>
      <c r="F84" s="8"/>
      <c r="H84" s="8"/>
      <c r="I84" s="8"/>
      <c r="J84" s="8"/>
      <c r="K84" s="33"/>
      <c r="L84" s="33"/>
      <c r="M84" s="33"/>
      <c r="BV84" s="2"/>
      <c r="BW84" s="2"/>
    </row>
    <row r="85" spans="1:75" s="1" customFormat="1" x14ac:dyDescent="0.2">
      <c r="D85" s="8"/>
      <c r="E85" s="8"/>
      <c r="F85" s="8"/>
      <c r="H85" s="8"/>
      <c r="I85" s="8"/>
      <c r="J85" s="8"/>
      <c r="K85" s="33"/>
      <c r="L85" s="33"/>
      <c r="M85" s="33"/>
      <c r="BV85" s="2"/>
      <c r="BW85" s="2"/>
    </row>
    <row r="86" spans="1:75" x14ac:dyDescent="0.2">
      <c r="A86" s="1"/>
      <c r="B86" s="1"/>
      <c r="C86" s="1"/>
      <c r="G86" s="1"/>
      <c r="I86" s="8"/>
      <c r="J86" s="8"/>
    </row>
    <row r="87" spans="1:75" x14ac:dyDescent="0.2">
      <c r="A87" s="1"/>
      <c r="B87" s="1"/>
      <c r="C87" s="1"/>
      <c r="G87" s="1"/>
      <c r="I87" s="8"/>
      <c r="J87" s="8"/>
    </row>
    <row r="88" spans="1:75" x14ac:dyDescent="0.2">
      <c r="A88" s="1"/>
      <c r="B88" s="1"/>
      <c r="C88" s="1"/>
      <c r="G88" s="1"/>
      <c r="I88" s="8"/>
      <c r="J88" s="8"/>
    </row>
    <row r="89" spans="1:75" x14ac:dyDescent="0.2">
      <c r="A89" s="1"/>
      <c r="B89" s="1"/>
      <c r="C89" s="1"/>
      <c r="G89" s="1"/>
      <c r="I89" s="8"/>
      <c r="J89" s="8"/>
    </row>
    <row r="90" spans="1:75" x14ac:dyDescent="0.2">
      <c r="A90" s="1"/>
      <c r="B90" s="1"/>
      <c r="C90" s="1"/>
      <c r="G90" s="1"/>
      <c r="I90" s="8"/>
      <c r="J90" s="8"/>
    </row>
    <row r="91" spans="1:75" x14ac:dyDescent="0.2">
      <c r="A91" s="1"/>
      <c r="B91" s="1"/>
      <c r="C91" s="49" t="s">
        <v>343</v>
      </c>
      <c r="G91" s="1"/>
      <c r="I91" s="8"/>
      <c r="J91" s="8"/>
    </row>
    <row r="92" spans="1:75" x14ac:dyDescent="0.2">
      <c r="A92" s="1"/>
      <c r="B92" s="1"/>
      <c r="C92" s="1"/>
      <c r="G92" s="1"/>
      <c r="I92" s="8"/>
      <c r="J92" s="8"/>
    </row>
    <row r="93" spans="1:75" x14ac:dyDescent="0.2">
      <c r="A93" s="1"/>
      <c r="B93" s="1"/>
      <c r="C93" s="1"/>
      <c r="G93" s="1"/>
      <c r="I93" s="8"/>
      <c r="J93" s="8"/>
    </row>
    <row r="94" spans="1:75" x14ac:dyDescent="0.2">
      <c r="A94" s="1"/>
      <c r="B94" s="1"/>
      <c r="C94" s="1"/>
      <c r="G94" s="1"/>
      <c r="I94" s="8"/>
      <c r="J94" s="8"/>
    </row>
    <row r="95" spans="1:75" x14ac:dyDescent="0.2">
      <c r="A95" s="1"/>
      <c r="B95" s="1"/>
      <c r="C95" s="1"/>
      <c r="G95" s="1"/>
      <c r="I95" s="8"/>
      <c r="J95" s="8"/>
    </row>
    <row r="96" spans="1:75" x14ac:dyDescent="0.2">
      <c r="A96" s="1"/>
      <c r="B96" s="1"/>
      <c r="C96" s="1"/>
      <c r="G96" s="1"/>
      <c r="I96" s="8"/>
      <c r="J96" s="8"/>
    </row>
    <row r="97" spans="1:75" x14ac:dyDescent="0.2">
      <c r="A97" s="1"/>
      <c r="B97" s="1"/>
      <c r="C97" s="1"/>
      <c r="G97" s="1"/>
      <c r="I97" s="8"/>
      <c r="J97" s="8"/>
    </row>
    <row r="98" spans="1:75" x14ac:dyDescent="0.2">
      <c r="A98" s="1"/>
      <c r="B98" s="1"/>
      <c r="C98" s="1"/>
      <c r="G98" s="1"/>
      <c r="I98" s="8"/>
      <c r="J98" s="8"/>
    </row>
    <row r="99" spans="1:75" x14ac:dyDescent="0.2">
      <c r="A99" s="1"/>
      <c r="B99" s="1"/>
      <c r="C99" s="1"/>
      <c r="G99" s="1"/>
      <c r="I99" s="8"/>
      <c r="J99" s="8"/>
    </row>
    <row r="100" spans="1:75" x14ac:dyDescent="0.2">
      <c r="A100" s="1"/>
      <c r="B100" s="1"/>
      <c r="C100" s="1"/>
      <c r="G100" s="1"/>
      <c r="I100" s="8"/>
      <c r="J100" s="8"/>
    </row>
    <row r="101" spans="1:75" x14ac:dyDescent="0.2">
      <c r="A101" s="1"/>
      <c r="B101" s="1"/>
      <c r="C101" s="1"/>
      <c r="G101" s="1"/>
      <c r="I101" s="8"/>
      <c r="J101" s="8"/>
    </row>
    <row r="102" spans="1:75" s="1" customFormat="1" x14ac:dyDescent="0.2">
      <c r="D102" s="8"/>
      <c r="E102" s="8"/>
      <c r="F102" s="8"/>
      <c r="H102" s="8"/>
      <c r="I102" s="8"/>
      <c r="J102" s="8"/>
      <c r="K102" s="33"/>
      <c r="L102" s="33"/>
      <c r="M102" s="33"/>
      <c r="BV102" s="2"/>
      <c r="BW102" s="2"/>
    </row>
    <row r="103" spans="1:75" s="1" customFormat="1" x14ac:dyDescent="0.2">
      <c r="D103" s="8"/>
      <c r="E103" s="8"/>
      <c r="F103" s="8"/>
      <c r="H103" s="8"/>
      <c r="I103" s="8"/>
      <c r="J103" s="8"/>
      <c r="K103" s="33"/>
      <c r="L103" s="33"/>
      <c r="M103" s="33"/>
      <c r="BV103" s="2"/>
      <c r="BW103" s="2"/>
    </row>
    <row r="104" spans="1:75" s="1" customFormat="1" x14ac:dyDescent="0.2">
      <c r="D104" s="8"/>
      <c r="E104" s="8"/>
      <c r="F104" s="8"/>
      <c r="H104" s="8"/>
      <c r="I104" s="8"/>
      <c r="J104" s="8"/>
      <c r="K104" s="33"/>
      <c r="L104" s="33"/>
      <c r="M104" s="33"/>
      <c r="BV104" s="2"/>
      <c r="BW104" s="2"/>
    </row>
    <row r="105" spans="1:75" s="1" customFormat="1" x14ac:dyDescent="0.2">
      <c r="D105" s="8"/>
      <c r="E105" s="8"/>
      <c r="F105" s="8"/>
      <c r="H105" s="8"/>
      <c r="I105" s="8"/>
      <c r="J105" s="8"/>
      <c r="K105" s="33"/>
      <c r="L105" s="33"/>
      <c r="M105" s="33"/>
      <c r="BV105" s="2"/>
      <c r="BW105" s="2"/>
    </row>
    <row r="106" spans="1:75" s="1" customFormat="1" x14ac:dyDescent="0.2">
      <c r="D106" s="8"/>
      <c r="E106" s="8"/>
      <c r="F106" s="8"/>
      <c r="H106" s="8"/>
      <c r="I106" s="8"/>
      <c r="J106" s="8"/>
      <c r="K106" s="33"/>
      <c r="L106" s="33"/>
      <c r="M106" s="33"/>
      <c r="BV106" s="2"/>
      <c r="BW106" s="2"/>
    </row>
    <row r="107" spans="1:75" s="1" customFormat="1" x14ac:dyDescent="0.2">
      <c r="D107" s="8"/>
      <c r="E107" s="8"/>
      <c r="F107" s="8"/>
      <c r="H107" s="8"/>
      <c r="I107" s="8"/>
      <c r="J107" s="8"/>
      <c r="K107" s="33"/>
      <c r="L107" s="33"/>
      <c r="M107" s="33"/>
      <c r="BV107" s="2"/>
      <c r="BW107" s="2"/>
    </row>
    <row r="108" spans="1:75" s="1" customFormat="1" x14ac:dyDescent="0.2">
      <c r="D108" s="8"/>
      <c r="E108" s="8"/>
      <c r="F108" s="8"/>
      <c r="H108" s="8"/>
      <c r="I108" s="8"/>
      <c r="J108" s="8"/>
      <c r="K108" s="33"/>
      <c r="L108" s="33"/>
      <c r="M108" s="33"/>
      <c r="BV108" s="2"/>
      <c r="BW108" s="2"/>
    </row>
    <row r="109" spans="1:75" s="1" customFormat="1" x14ac:dyDescent="0.2">
      <c r="D109" s="8"/>
      <c r="E109" s="8"/>
      <c r="F109" s="8"/>
      <c r="H109" s="8"/>
      <c r="I109" s="8"/>
      <c r="J109" s="8"/>
      <c r="K109" s="33"/>
      <c r="L109" s="33"/>
      <c r="M109" s="33"/>
      <c r="BV109" s="2"/>
      <c r="BW109" s="2"/>
    </row>
    <row r="110" spans="1:75" s="1" customFormat="1" x14ac:dyDescent="0.2">
      <c r="D110" s="8"/>
      <c r="E110" s="8"/>
      <c r="F110" s="8"/>
      <c r="H110" s="8"/>
      <c r="I110" s="8"/>
      <c r="J110" s="8"/>
      <c r="K110" s="33"/>
      <c r="L110" s="33"/>
      <c r="M110" s="33"/>
      <c r="BV110" s="2"/>
      <c r="BW110" s="2"/>
    </row>
    <row r="111" spans="1:75" s="1" customFormat="1" x14ac:dyDescent="0.2">
      <c r="D111" s="8"/>
      <c r="E111" s="8"/>
      <c r="F111" s="8"/>
      <c r="H111" s="8"/>
      <c r="I111" s="8"/>
      <c r="J111" s="8"/>
      <c r="K111" s="33"/>
      <c r="L111" s="33"/>
      <c r="M111" s="33"/>
      <c r="BV111" s="2"/>
      <c r="BW111" s="2"/>
    </row>
    <row r="112" spans="1:75" s="1" customFormat="1" x14ac:dyDescent="0.2">
      <c r="D112" s="8"/>
      <c r="E112" s="8"/>
      <c r="F112" s="8"/>
      <c r="H112" s="8"/>
      <c r="I112" s="8"/>
      <c r="J112" s="8"/>
      <c r="K112" s="33"/>
      <c r="L112" s="33"/>
      <c r="M112" s="33"/>
      <c r="BV112" s="2"/>
      <c r="BW112" s="2"/>
    </row>
    <row r="113" spans="4:75" s="1" customFormat="1" x14ac:dyDescent="0.2">
      <c r="D113" s="8"/>
      <c r="E113" s="8"/>
      <c r="F113" s="8"/>
      <c r="H113" s="8"/>
      <c r="I113" s="8"/>
      <c r="J113" s="8"/>
      <c r="K113" s="33"/>
      <c r="L113" s="33"/>
      <c r="M113" s="33"/>
      <c r="BV113" s="2"/>
      <c r="BW113" s="2"/>
    </row>
    <row r="114" spans="4:75" s="1" customFormat="1" x14ac:dyDescent="0.2">
      <c r="D114" s="8"/>
      <c r="E114" s="8"/>
      <c r="F114" s="8"/>
      <c r="H114" s="8"/>
      <c r="I114" s="8"/>
      <c r="J114" s="8"/>
      <c r="K114" s="33"/>
      <c r="L114" s="33"/>
      <c r="M114" s="33"/>
      <c r="BV114" s="2"/>
      <c r="BW114" s="2"/>
    </row>
    <row r="115" spans="4:75" s="1" customFormat="1" x14ac:dyDescent="0.2">
      <c r="D115" s="8"/>
      <c r="E115" s="8"/>
      <c r="F115" s="8"/>
      <c r="H115" s="8"/>
      <c r="I115" s="8"/>
      <c r="J115" s="8"/>
      <c r="K115" s="33"/>
      <c r="L115" s="33"/>
      <c r="M115" s="33"/>
    </row>
    <row r="116" spans="4:75" s="1" customFormat="1" x14ac:dyDescent="0.2">
      <c r="D116" s="8"/>
      <c r="E116" s="8"/>
      <c r="F116" s="8"/>
      <c r="H116" s="8"/>
      <c r="I116" s="8"/>
      <c r="J116" s="8"/>
      <c r="K116" s="33"/>
      <c r="L116" s="33"/>
      <c r="M116" s="33"/>
    </row>
    <row r="117" spans="4:75" s="1" customFormat="1" x14ac:dyDescent="0.2">
      <c r="D117" s="8"/>
      <c r="E117" s="8"/>
      <c r="F117" s="8"/>
      <c r="H117" s="8"/>
      <c r="I117" s="8"/>
      <c r="J117" s="8"/>
      <c r="K117" s="33"/>
      <c r="L117" s="33"/>
      <c r="M117" s="33"/>
    </row>
    <row r="118" spans="4:75" s="1" customFormat="1" x14ac:dyDescent="0.2">
      <c r="D118" s="8"/>
      <c r="E118" s="8"/>
      <c r="F118" s="8"/>
      <c r="H118" s="8"/>
      <c r="I118" s="8"/>
      <c r="J118" s="8"/>
      <c r="K118" s="33"/>
      <c r="L118" s="33"/>
      <c r="M118" s="33"/>
    </row>
    <row r="119" spans="4:75" s="1" customFormat="1" x14ac:dyDescent="0.2">
      <c r="D119" s="8"/>
      <c r="E119" s="8"/>
      <c r="F119" s="8"/>
      <c r="H119" s="8"/>
      <c r="I119" s="8"/>
      <c r="J119" s="8"/>
      <c r="K119" s="33"/>
      <c r="L119" s="33"/>
      <c r="M119" s="33"/>
    </row>
    <row r="120" spans="4:75" s="1" customFormat="1" x14ac:dyDescent="0.2">
      <c r="D120" s="8"/>
      <c r="E120" s="8"/>
      <c r="F120" s="8"/>
      <c r="H120" s="8"/>
      <c r="I120" s="8"/>
      <c r="J120" s="8"/>
      <c r="K120" s="33"/>
      <c r="L120" s="33"/>
      <c r="M120" s="33"/>
    </row>
    <row r="121" spans="4:75" s="1" customFormat="1" x14ac:dyDescent="0.2">
      <c r="D121" s="8"/>
      <c r="E121" s="8"/>
      <c r="F121" s="8"/>
      <c r="H121" s="8"/>
      <c r="I121" s="8"/>
      <c r="J121" s="8"/>
      <c r="K121" s="33"/>
      <c r="L121" s="33"/>
      <c r="M121" s="33"/>
    </row>
    <row r="122" spans="4:75" s="1" customFormat="1" x14ac:dyDescent="0.2">
      <c r="D122" s="8"/>
      <c r="E122" s="8"/>
      <c r="F122" s="8"/>
      <c r="H122" s="8"/>
      <c r="I122" s="8"/>
      <c r="J122" s="8"/>
      <c r="K122" s="33"/>
      <c r="L122" s="33"/>
      <c r="M122" s="33"/>
    </row>
    <row r="123" spans="4:75" s="1" customFormat="1" x14ac:dyDescent="0.2">
      <c r="D123" s="8"/>
      <c r="E123" s="8"/>
      <c r="F123" s="8"/>
      <c r="H123" s="8"/>
      <c r="I123" s="8"/>
      <c r="J123" s="8"/>
      <c r="K123" s="33"/>
      <c r="L123" s="33"/>
      <c r="M123" s="33"/>
    </row>
    <row r="124" spans="4:75" s="1" customFormat="1" x14ac:dyDescent="0.2">
      <c r="D124" s="8"/>
      <c r="E124" s="8"/>
      <c r="F124" s="8"/>
      <c r="H124" s="8"/>
      <c r="I124" s="8"/>
      <c r="J124" s="8"/>
      <c r="K124" s="33"/>
      <c r="L124" s="33"/>
      <c r="M124" s="33"/>
    </row>
    <row r="125" spans="4:75" s="1" customFormat="1" x14ac:dyDescent="0.2">
      <c r="D125" s="8"/>
      <c r="E125" s="8"/>
      <c r="F125" s="8"/>
      <c r="H125" s="8"/>
      <c r="I125" s="8"/>
      <c r="J125" s="8"/>
      <c r="K125" s="33"/>
      <c r="L125" s="33"/>
      <c r="M125" s="33"/>
    </row>
    <row r="126" spans="4:75" s="1" customFormat="1" x14ac:dyDescent="0.2">
      <c r="D126" s="8"/>
      <c r="E126" s="8"/>
      <c r="F126" s="8"/>
      <c r="H126" s="8"/>
      <c r="I126" s="8"/>
      <c r="J126" s="8"/>
      <c r="K126" s="33"/>
      <c r="L126" s="33"/>
      <c r="M126" s="33"/>
    </row>
    <row r="127" spans="4:75" s="1" customFormat="1" x14ac:dyDescent="0.2">
      <c r="D127" s="8"/>
      <c r="E127" s="8"/>
      <c r="F127" s="8"/>
      <c r="H127" s="8"/>
      <c r="I127" s="8"/>
      <c r="J127" s="8"/>
      <c r="K127" s="33"/>
      <c r="L127" s="33"/>
      <c r="M127" s="33"/>
    </row>
    <row r="128" spans="4:75" s="1" customFormat="1" x14ac:dyDescent="0.2">
      <c r="D128" s="8"/>
      <c r="E128" s="8"/>
      <c r="F128" s="8"/>
      <c r="H128" s="8"/>
      <c r="I128" s="8"/>
      <c r="J128" s="8"/>
      <c r="K128" s="33"/>
      <c r="L128" s="33"/>
      <c r="M128" s="33"/>
    </row>
    <row r="129" spans="4:13" s="1" customFormat="1" x14ac:dyDescent="0.2">
      <c r="D129" s="8"/>
      <c r="E129" s="8"/>
      <c r="F129" s="8"/>
      <c r="H129" s="8"/>
      <c r="I129" s="8"/>
      <c r="J129" s="8"/>
      <c r="K129" s="33"/>
      <c r="L129" s="33"/>
      <c r="M129" s="33"/>
    </row>
    <row r="130" spans="4:13" s="1" customFormat="1" x14ac:dyDescent="0.2">
      <c r="D130" s="8"/>
      <c r="E130" s="8"/>
      <c r="F130" s="8"/>
      <c r="H130" s="8"/>
      <c r="I130" s="8"/>
      <c r="J130" s="8"/>
      <c r="K130" s="33"/>
      <c r="L130" s="33"/>
      <c r="M130" s="33"/>
    </row>
    <row r="131" spans="4:13" s="1" customFormat="1" x14ac:dyDescent="0.2">
      <c r="D131" s="8"/>
      <c r="E131" s="8"/>
      <c r="F131" s="8"/>
      <c r="H131" s="8"/>
      <c r="I131" s="8"/>
      <c r="J131" s="8"/>
      <c r="K131" s="33"/>
      <c r="L131" s="33"/>
      <c r="M131" s="33"/>
    </row>
    <row r="132" spans="4:13" s="1" customFormat="1" x14ac:dyDescent="0.2">
      <c r="D132" s="8"/>
      <c r="E132" s="8"/>
      <c r="F132" s="8"/>
      <c r="H132" s="8"/>
      <c r="I132" s="8"/>
      <c r="J132" s="8"/>
      <c r="K132" s="33"/>
      <c r="L132" s="33"/>
      <c r="M132" s="33"/>
    </row>
    <row r="133" spans="4:13" s="1" customFormat="1" x14ac:dyDescent="0.2">
      <c r="D133" s="8"/>
      <c r="E133" s="8"/>
      <c r="F133" s="8"/>
      <c r="H133" s="8"/>
      <c r="I133" s="8"/>
      <c r="J133" s="8"/>
      <c r="K133" s="33"/>
      <c r="L133" s="33"/>
      <c r="M133" s="33"/>
    </row>
    <row r="134" spans="4:13" s="1" customFormat="1" x14ac:dyDescent="0.2">
      <c r="D134" s="8"/>
      <c r="E134" s="8"/>
      <c r="F134" s="8"/>
      <c r="H134" s="8"/>
      <c r="I134" s="8"/>
      <c r="J134" s="8"/>
      <c r="K134" s="33"/>
      <c r="L134" s="33"/>
      <c r="M134" s="33"/>
    </row>
    <row r="135" spans="4:13" s="1" customFormat="1" x14ac:dyDescent="0.2">
      <c r="D135" s="8"/>
      <c r="E135" s="8"/>
      <c r="F135" s="8"/>
      <c r="H135" s="8"/>
      <c r="I135" s="8"/>
      <c r="J135" s="8"/>
      <c r="K135" s="33"/>
      <c r="L135" s="33"/>
      <c r="M135" s="33"/>
    </row>
    <row r="136" spans="4:13" s="1" customFormat="1" x14ac:dyDescent="0.2">
      <c r="D136" s="8"/>
      <c r="E136" s="8"/>
      <c r="F136" s="8"/>
      <c r="H136" s="8"/>
      <c r="I136" s="8"/>
      <c r="J136" s="8"/>
      <c r="K136" s="33"/>
      <c r="L136" s="33"/>
      <c r="M136" s="33"/>
    </row>
    <row r="137" spans="4:13" s="1" customFormat="1" x14ac:dyDescent="0.2">
      <c r="D137" s="8"/>
      <c r="E137" s="8"/>
      <c r="F137" s="8"/>
      <c r="H137" s="8"/>
      <c r="I137" s="8"/>
      <c r="J137" s="8"/>
      <c r="K137" s="33"/>
      <c r="L137" s="33"/>
      <c r="M137" s="33"/>
    </row>
    <row r="138" spans="4:13" s="1" customFormat="1" x14ac:dyDescent="0.2">
      <c r="D138" s="8"/>
      <c r="E138" s="8"/>
      <c r="F138" s="8"/>
      <c r="H138" s="8"/>
      <c r="I138" s="8"/>
      <c r="J138" s="8"/>
      <c r="K138" s="33"/>
      <c r="L138" s="33"/>
      <c r="M138" s="33"/>
    </row>
    <row r="139" spans="4:13" s="1" customFormat="1" x14ac:dyDescent="0.2">
      <c r="D139" s="8"/>
      <c r="E139" s="8"/>
      <c r="F139" s="8"/>
      <c r="H139" s="8"/>
      <c r="I139" s="8"/>
      <c r="J139" s="8"/>
      <c r="K139" s="33"/>
      <c r="L139" s="33"/>
      <c r="M139" s="33"/>
    </row>
    <row r="140" spans="4:13" s="1" customFormat="1" x14ac:dyDescent="0.2">
      <c r="D140" s="8"/>
      <c r="E140" s="8"/>
      <c r="F140" s="8"/>
      <c r="H140" s="8"/>
      <c r="I140" s="8"/>
      <c r="J140" s="8"/>
      <c r="K140" s="33"/>
      <c r="L140" s="33"/>
      <c r="M140" s="33"/>
    </row>
    <row r="141" spans="4:13" s="1" customFormat="1" x14ac:dyDescent="0.2">
      <c r="D141" s="8"/>
      <c r="E141" s="8"/>
      <c r="F141" s="8"/>
      <c r="H141" s="8"/>
      <c r="I141" s="8"/>
      <c r="J141" s="8"/>
      <c r="K141" s="33"/>
      <c r="L141" s="33"/>
      <c r="M141" s="33"/>
    </row>
    <row r="142" spans="4:13" s="1" customFormat="1" x14ac:dyDescent="0.2">
      <c r="D142" s="8"/>
      <c r="E142" s="8"/>
      <c r="F142" s="8"/>
      <c r="H142" s="8"/>
      <c r="I142" s="8"/>
      <c r="J142" s="8"/>
      <c r="K142" s="33"/>
      <c r="L142" s="33"/>
      <c r="M142" s="33"/>
    </row>
    <row r="143" spans="4:13" s="1" customFormat="1" x14ac:dyDescent="0.2">
      <c r="D143" s="8"/>
      <c r="E143" s="8"/>
      <c r="F143" s="8"/>
      <c r="H143" s="8"/>
      <c r="I143" s="8"/>
      <c r="J143" s="8"/>
      <c r="K143" s="33"/>
      <c r="L143" s="33"/>
      <c r="M143" s="33"/>
    </row>
    <row r="144" spans="4:13" s="1" customFormat="1" x14ac:dyDescent="0.2">
      <c r="D144" s="8"/>
      <c r="E144" s="8"/>
      <c r="F144" s="8"/>
      <c r="H144" s="8"/>
      <c r="I144" s="8"/>
      <c r="J144" s="8"/>
      <c r="K144" s="33"/>
      <c r="L144" s="33"/>
      <c r="M144" s="33"/>
    </row>
    <row r="145" spans="4:13" s="1" customFormat="1" x14ac:dyDescent="0.2">
      <c r="D145" s="8"/>
      <c r="E145" s="8"/>
      <c r="F145" s="8"/>
      <c r="H145" s="8"/>
      <c r="I145" s="8"/>
      <c r="J145" s="8"/>
      <c r="K145" s="33"/>
      <c r="L145" s="33"/>
      <c r="M145" s="33"/>
    </row>
    <row r="146" spans="4:13" s="1" customFormat="1" x14ac:dyDescent="0.2">
      <c r="D146" s="8"/>
      <c r="E146" s="8"/>
      <c r="F146" s="8"/>
      <c r="H146" s="8"/>
      <c r="I146" s="8"/>
      <c r="J146" s="8"/>
      <c r="K146" s="33"/>
      <c r="L146" s="33"/>
      <c r="M146" s="33"/>
    </row>
    <row r="147" spans="4:13" s="1" customFormat="1" x14ac:dyDescent="0.2">
      <c r="D147" s="8"/>
      <c r="E147" s="8"/>
      <c r="F147" s="8"/>
      <c r="H147" s="8"/>
      <c r="I147" s="8"/>
      <c r="J147" s="8"/>
      <c r="K147" s="33"/>
      <c r="L147" s="33"/>
      <c r="M147" s="33"/>
    </row>
    <row r="148" spans="4:13" s="1" customFormat="1" x14ac:dyDescent="0.2">
      <c r="D148" s="8"/>
      <c r="E148" s="8"/>
      <c r="F148" s="8"/>
      <c r="H148" s="8"/>
      <c r="I148" s="8"/>
      <c r="J148" s="8"/>
      <c r="K148" s="33"/>
      <c r="L148" s="33"/>
      <c r="M148" s="33"/>
    </row>
    <row r="149" spans="4:13" s="1" customFormat="1" x14ac:dyDescent="0.2">
      <c r="D149" s="8"/>
      <c r="E149" s="8"/>
      <c r="F149" s="8"/>
      <c r="H149" s="8"/>
      <c r="I149" s="8"/>
      <c r="J149" s="8"/>
      <c r="K149" s="33"/>
      <c r="L149" s="33"/>
      <c r="M149" s="33"/>
    </row>
  </sheetData>
  <sheetProtection password="DB0F" sheet="1" objects="1" scenarios="1"/>
  <mergeCells count="7">
    <mergeCell ref="G26:H26"/>
    <mergeCell ref="I7:J7"/>
    <mergeCell ref="D2:J2"/>
    <mergeCell ref="D13:J13"/>
    <mergeCell ref="M7:N7"/>
    <mergeCell ref="D11:J11"/>
    <mergeCell ref="D12:J12"/>
  </mergeCells>
  <phoneticPr fontId="3" type="noConversion"/>
  <conditionalFormatting sqref="E20">
    <cfRule type="expression" dxfId="6" priority="1" stopIfTrue="1">
      <formula>$E$20&lt;&gt;""</formula>
    </cfRule>
  </conditionalFormatting>
  <conditionalFormatting sqref="G49:G59">
    <cfRule type="expression" dxfId="5" priority="2" stopIfTrue="1">
      <formula>$C$41="Aucune"</formula>
    </cfRule>
  </conditionalFormatting>
  <conditionalFormatting sqref="H49:H59">
    <cfRule type="expression" dxfId="4" priority="3" stopIfTrue="1">
      <formula>$C$41="CESI"</formula>
    </cfRule>
  </conditionalFormatting>
  <conditionalFormatting sqref="I49:I59">
    <cfRule type="expression" dxfId="3" priority="4" stopIfTrue="1">
      <formula>$C$41="SSC"</formula>
    </cfRule>
  </conditionalFormatting>
  <conditionalFormatting sqref="E40:E41">
    <cfRule type="expression" dxfId="2" priority="5" stopIfTrue="1">
      <formula>$C$41="Aucune"</formula>
    </cfRule>
  </conditionalFormatting>
  <conditionalFormatting sqref="G40:G41">
    <cfRule type="expression" dxfId="1" priority="6" stopIfTrue="1">
      <formula>$C$41="Aucune"</formula>
    </cfRule>
    <cfRule type="expression" dxfId="0" priority="7" stopIfTrue="1">
      <formula>$C$41="CESI"</formula>
    </cfRule>
  </conditionalFormatting>
  <dataValidations count="10">
    <dataValidation type="whole" allowBlank="1" showInputMessage="1" showErrorMessage="1" sqref="E41 G41">
      <formula1>0</formula1>
      <formula2>100</formula2>
    </dataValidation>
    <dataValidation type="list" showInputMessage="1" showErrorMessage="1" sqref="G26">
      <formula1>type</formula1>
    </dataValidation>
    <dataValidation type="decimal" allowBlank="1" showInputMessage="1" showErrorMessage="1" sqref="E26">
      <formula1>0</formula1>
      <formula2>5</formula2>
    </dataValidation>
    <dataValidation type="list" showInputMessage="1" showErrorMessage="1" sqref="E29">
      <formula1>consoecs</formula1>
    </dataValidation>
    <dataValidation type="list" allowBlank="1" showInputMessage="1" showErrorMessage="1" sqref="E20">
      <formula1>Altitude</formula1>
    </dataValidation>
    <dataValidation type="whole" allowBlank="1" showInputMessage="1" showErrorMessage="1" sqref="C29">
      <formula1>0</formula1>
      <formula2>10</formula2>
    </dataValidation>
    <dataValidation type="list" allowBlank="1" showInputMessage="1" showErrorMessage="1" sqref="C20">
      <formula1>Département</formula1>
    </dataValidation>
    <dataValidation type="decimal" allowBlank="1" showInputMessage="1" showErrorMessage="1" sqref="C26">
      <formula1>0</formula1>
      <formula2>350</formula2>
    </dataValidation>
    <dataValidation type="whole" allowBlank="1" showInputMessage="1" showErrorMessage="1" sqref="C32">
      <formula1>15</formula1>
      <formula2>30</formula2>
    </dataValidation>
    <dataValidation type="list" allowBlank="1" showInputMessage="1" showErrorMessage="1" sqref="C41">
      <formula1>solaire</formula1>
    </dataValidation>
  </dataValidations>
  <pageMargins left="0.36" right="0.23" top="0.45" bottom="0.17" header="0.32" footer="0.21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84"/>
  <sheetViews>
    <sheetView showGridLines="0" showRowColHeaders="0" zoomScale="75" zoomScaleNormal="75" workbookViewId="0">
      <selection activeCell="M15" sqref="M15"/>
    </sheetView>
  </sheetViews>
  <sheetFormatPr baseColWidth="10" defaultRowHeight="12.75" x14ac:dyDescent="0.2"/>
  <cols>
    <col min="1" max="1" width="2.42578125" style="74" customWidth="1"/>
    <col min="2" max="2" width="2.85546875" style="2" customWidth="1"/>
    <col min="3" max="3" width="25.28515625" style="2" customWidth="1"/>
    <col min="4" max="7" width="21.7109375" style="2" customWidth="1"/>
    <col min="8" max="8" width="24" style="2" customWidth="1"/>
    <col min="9" max="9" width="21.7109375" style="2" customWidth="1"/>
    <col min="10" max="10" width="2.7109375" style="2" customWidth="1"/>
    <col min="11" max="11" width="10.42578125" style="74" customWidth="1"/>
    <col min="12" max="12" width="8.85546875" style="74" customWidth="1"/>
    <col min="13" max="13" width="19.5703125" style="74" customWidth="1"/>
    <col min="14" max="14" width="6.140625" style="74" customWidth="1"/>
    <col min="15" max="32" width="11.42578125" style="74"/>
    <col min="33" max="16384" width="11.42578125" style="2"/>
  </cols>
  <sheetData>
    <row r="1" spans="1:73" s="17" customFormat="1" ht="15" customHeight="1" x14ac:dyDescent="0.2">
      <c r="A1" s="134"/>
      <c r="B1" s="134"/>
      <c r="C1" s="134"/>
      <c r="D1" s="134"/>
      <c r="E1" s="134"/>
      <c r="F1" s="134"/>
      <c r="G1" s="135"/>
      <c r="H1" s="136"/>
      <c r="I1" s="136"/>
      <c r="J1" s="136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9"/>
      <c r="AC1" s="79"/>
      <c r="AD1" s="79"/>
      <c r="AE1" s="79"/>
      <c r="AF1" s="79"/>
    </row>
    <row r="2" spans="1:73" s="17" customFormat="1" ht="25.5" x14ac:dyDescent="0.2">
      <c r="A2" s="134"/>
      <c r="B2" s="134"/>
      <c r="C2" s="134"/>
      <c r="D2" s="154" t="s">
        <v>281</v>
      </c>
      <c r="E2" s="154"/>
      <c r="F2" s="154"/>
      <c r="G2" s="154"/>
      <c r="H2" s="154"/>
      <c r="I2" s="154"/>
      <c r="J2" s="15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9"/>
      <c r="AC2" s="79"/>
      <c r="AD2" s="79"/>
      <c r="AE2" s="79"/>
      <c r="AF2" s="79"/>
    </row>
    <row r="3" spans="1:73" s="17" customFormat="1" ht="15" customHeight="1" x14ac:dyDescent="0.3">
      <c r="A3" s="134"/>
      <c r="B3" s="134"/>
      <c r="C3" s="134"/>
      <c r="D3" s="134"/>
      <c r="E3" s="134"/>
      <c r="F3" s="134"/>
      <c r="G3" s="137"/>
      <c r="H3" s="136"/>
      <c r="I3" s="136"/>
      <c r="J3" s="13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9"/>
      <c r="AC3" s="79"/>
      <c r="AD3" s="79"/>
      <c r="AE3" s="79"/>
      <c r="AF3" s="79"/>
    </row>
    <row r="4" spans="1:73" s="17" customFormat="1" ht="6.75" customHeight="1" x14ac:dyDescent="0.3">
      <c r="A4" s="134"/>
      <c r="B4" s="134"/>
      <c r="C4" s="134"/>
      <c r="D4" s="134"/>
      <c r="E4" s="134"/>
      <c r="F4" s="134"/>
      <c r="G4" s="137"/>
      <c r="H4" s="136"/>
      <c r="I4" s="136"/>
      <c r="J4" s="136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9"/>
      <c r="AC4" s="79"/>
      <c r="AD4" s="79"/>
      <c r="AE4" s="79"/>
      <c r="AF4" s="79"/>
    </row>
    <row r="5" spans="1:73" s="18" customFormat="1" ht="12" customHeight="1" x14ac:dyDescent="0.2">
      <c r="A5" s="138"/>
      <c r="B5" s="138"/>
      <c r="C5" s="138"/>
      <c r="D5" s="138"/>
      <c r="E5" s="138"/>
      <c r="F5" s="138"/>
      <c r="G5" s="138"/>
      <c r="H5" s="139"/>
      <c r="I5" s="139"/>
      <c r="J5" s="157" t="str">
        <f>Rénovation!J5</f>
        <v>Version 01/2019</v>
      </c>
      <c r="K5" s="80"/>
      <c r="L5" s="80"/>
      <c r="M5" s="81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2"/>
      <c r="AC5" s="82"/>
      <c r="AD5" s="82"/>
      <c r="AE5" s="82"/>
      <c r="AF5" s="82"/>
    </row>
    <row r="6" spans="1:73" ht="3" customHeight="1" x14ac:dyDescent="0.2">
      <c r="B6" s="74"/>
      <c r="C6" s="74"/>
      <c r="D6" s="74"/>
      <c r="E6" s="74"/>
      <c r="F6" s="74"/>
      <c r="G6" s="74"/>
      <c r="H6" s="86"/>
      <c r="I6" s="86"/>
      <c r="J6" s="8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8" customHeight="1" x14ac:dyDescent="0.25">
      <c r="B7" s="74"/>
      <c r="C7" s="83"/>
      <c r="D7" s="84"/>
      <c r="E7" s="84"/>
      <c r="F7" s="84"/>
      <c r="G7" s="85"/>
      <c r="H7" s="86"/>
      <c r="I7" s="87"/>
      <c r="J7" s="87"/>
      <c r="K7" s="88"/>
      <c r="L7" s="89"/>
      <c r="M7" s="8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ht="18" customHeight="1" x14ac:dyDescent="0.3">
      <c r="B8" s="74"/>
      <c r="C8" s="121" t="s">
        <v>282</v>
      </c>
      <c r="D8" s="84"/>
      <c r="E8" s="84"/>
      <c r="F8" s="84"/>
      <c r="G8" s="85"/>
      <c r="H8" s="86"/>
      <c r="I8" s="87"/>
      <c r="J8" s="87"/>
      <c r="K8" s="88"/>
      <c r="L8" s="89"/>
      <c r="M8" s="88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3" customHeight="1" x14ac:dyDescent="0.25">
      <c r="B9" s="74"/>
      <c r="C9" s="102"/>
      <c r="D9" s="103"/>
      <c r="E9" s="103"/>
      <c r="F9" s="103"/>
      <c r="G9" s="104"/>
      <c r="H9" s="100"/>
      <c r="I9" s="105"/>
      <c r="J9" s="105"/>
      <c r="K9" s="88"/>
      <c r="L9" s="89"/>
      <c r="M9" s="88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9" customHeight="1" x14ac:dyDescent="0.25">
      <c r="B10" s="74"/>
      <c r="C10" s="83"/>
      <c r="D10" s="84"/>
      <c r="E10" s="84"/>
      <c r="F10" s="84"/>
      <c r="G10" s="85"/>
      <c r="H10" s="86"/>
      <c r="I10" s="87"/>
      <c r="J10" s="87"/>
      <c r="K10" s="88"/>
      <c r="L10" s="89"/>
      <c r="M10" s="88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18" customHeight="1" x14ac:dyDescent="0.2">
      <c r="B11" s="74"/>
      <c r="C11" s="179" t="s">
        <v>348</v>
      </c>
      <c r="D11" s="179"/>
      <c r="E11" s="179"/>
      <c r="F11" s="181"/>
      <c r="G11" s="179" t="s">
        <v>349</v>
      </c>
      <c r="H11" s="179"/>
      <c r="I11" s="179"/>
      <c r="J11" s="87"/>
      <c r="K11" s="88"/>
      <c r="L11" s="89"/>
      <c r="M11" s="88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18" customHeight="1" x14ac:dyDescent="0.2">
      <c r="B12" s="74"/>
      <c r="C12" s="74"/>
      <c r="D12" s="86"/>
      <c r="E12" s="86"/>
      <c r="F12" s="90"/>
      <c r="G12" s="74"/>
      <c r="H12" s="86"/>
      <c r="I12" s="86"/>
      <c r="J12" s="87"/>
      <c r="K12" s="88"/>
      <c r="L12" s="89"/>
      <c r="M12" s="88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18" customHeight="1" x14ac:dyDescent="0.25">
      <c r="B13" s="74"/>
      <c r="C13" s="165" t="s">
        <v>201</v>
      </c>
      <c r="D13" s="162"/>
      <c r="E13" s="178" t="s">
        <v>347</v>
      </c>
      <c r="F13" s="163"/>
      <c r="G13" s="165" t="s">
        <v>201</v>
      </c>
      <c r="H13" s="162"/>
      <c r="I13" s="178" t="s">
        <v>347</v>
      </c>
      <c r="J13" s="87"/>
      <c r="K13" s="88"/>
      <c r="L13" s="89"/>
      <c r="M13" s="88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15.75" x14ac:dyDescent="0.25">
      <c r="B14" s="74"/>
      <c r="C14" s="164" t="s">
        <v>285</v>
      </c>
      <c r="D14" s="167">
        <v>14.52</v>
      </c>
      <c r="E14" s="174">
        <v>14.52</v>
      </c>
      <c r="F14" s="162"/>
      <c r="G14" s="164" t="s">
        <v>242</v>
      </c>
      <c r="H14" s="166">
        <v>15.8</v>
      </c>
      <c r="I14" s="174">
        <v>15.8</v>
      </c>
      <c r="J14" s="87"/>
      <c r="K14" s="88"/>
      <c r="L14" s="89"/>
      <c r="M14" s="88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15.75" x14ac:dyDescent="0.25">
      <c r="B15" s="74"/>
      <c r="C15" s="164"/>
      <c r="D15" s="160"/>
      <c r="E15" s="171"/>
      <c r="F15" s="170"/>
      <c r="G15" s="164" t="s">
        <v>243</v>
      </c>
      <c r="H15" s="166">
        <v>12.3</v>
      </c>
      <c r="I15" s="174">
        <v>12.3</v>
      </c>
      <c r="J15" s="87"/>
      <c r="K15" s="88"/>
      <c r="L15" s="89"/>
      <c r="M15" s="88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x14ac:dyDescent="0.2">
      <c r="B16" s="74"/>
      <c r="C16" s="160"/>
      <c r="D16" s="163"/>
      <c r="E16" s="172"/>
      <c r="F16" s="160"/>
      <c r="G16" s="160"/>
      <c r="H16" s="160"/>
      <c r="I16" s="173"/>
      <c r="J16" s="87"/>
      <c r="K16" s="88"/>
      <c r="L16" s="89"/>
      <c r="M16" s="88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2:73" ht="15.75" x14ac:dyDescent="0.25">
      <c r="B17" s="74"/>
      <c r="C17" s="165" t="s">
        <v>290</v>
      </c>
      <c r="D17" s="162"/>
      <c r="E17" s="178" t="s">
        <v>347</v>
      </c>
      <c r="F17" s="160"/>
      <c r="G17" s="165" t="s">
        <v>290</v>
      </c>
      <c r="H17" s="162"/>
      <c r="I17" s="178" t="s">
        <v>347</v>
      </c>
      <c r="J17" s="87"/>
      <c r="K17" s="88"/>
      <c r="L17" s="89"/>
      <c r="M17" s="88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2:73" ht="15.75" x14ac:dyDescent="0.25">
      <c r="B18" s="74"/>
      <c r="C18" s="164" t="s">
        <v>284</v>
      </c>
      <c r="D18" s="169">
        <v>91.92</v>
      </c>
      <c r="E18" s="177">
        <v>91.92</v>
      </c>
      <c r="F18" s="162"/>
      <c r="G18" s="164" t="s">
        <v>283</v>
      </c>
      <c r="H18" s="168">
        <v>123.6</v>
      </c>
      <c r="I18" s="176">
        <v>123.6</v>
      </c>
      <c r="J18" s="87"/>
      <c r="K18" s="88"/>
      <c r="L18" s="89"/>
      <c r="M18" s="88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2:73" ht="15.75" x14ac:dyDescent="0.25">
      <c r="B19" s="74"/>
      <c r="C19" s="164" t="s">
        <v>283</v>
      </c>
      <c r="D19" s="169">
        <v>110.52</v>
      </c>
      <c r="E19" s="177">
        <v>110.52</v>
      </c>
      <c r="F19" s="162"/>
      <c r="G19" s="164" t="s">
        <v>286</v>
      </c>
      <c r="H19" s="168">
        <v>151.32</v>
      </c>
      <c r="I19" s="176">
        <v>151.32</v>
      </c>
      <c r="J19" s="87"/>
      <c r="K19" s="88"/>
      <c r="L19" s="89"/>
      <c r="M19" s="88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2:73" ht="15.75" x14ac:dyDescent="0.25">
      <c r="B20" s="74"/>
      <c r="C20" s="164" t="s">
        <v>286</v>
      </c>
      <c r="D20" s="169">
        <v>130.32</v>
      </c>
      <c r="E20" s="177">
        <v>130.32</v>
      </c>
      <c r="F20" s="162"/>
      <c r="G20" s="164" t="s">
        <v>287</v>
      </c>
      <c r="H20" s="168">
        <v>177.24</v>
      </c>
      <c r="I20" s="176">
        <v>177.24</v>
      </c>
      <c r="J20" s="87"/>
      <c r="K20" s="88"/>
      <c r="L20" s="89"/>
      <c r="M20" s="88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2:73" ht="15.75" x14ac:dyDescent="0.25">
      <c r="B21" s="74"/>
      <c r="C21" s="164" t="s">
        <v>287</v>
      </c>
      <c r="D21" s="169">
        <v>150.96</v>
      </c>
      <c r="E21" s="177">
        <v>150.96</v>
      </c>
      <c r="F21" s="162"/>
      <c r="G21" s="164" t="s">
        <v>288</v>
      </c>
      <c r="H21" s="168">
        <v>201.36</v>
      </c>
      <c r="I21" s="176">
        <v>201.36</v>
      </c>
      <c r="J21" s="87"/>
      <c r="K21" s="88"/>
      <c r="L21" s="89"/>
      <c r="M21" s="88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2:73" ht="15.75" x14ac:dyDescent="0.25">
      <c r="B22" s="74"/>
      <c r="C22" s="164" t="s">
        <v>288</v>
      </c>
      <c r="D22" s="169">
        <v>170.88</v>
      </c>
      <c r="E22" s="177">
        <v>170.88</v>
      </c>
      <c r="F22" s="162"/>
      <c r="G22" s="164" t="s">
        <v>289</v>
      </c>
      <c r="H22" s="168">
        <v>223.68</v>
      </c>
      <c r="I22" s="176">
        <v>223.68</v>
      </c>
      <c r="J22" s="87"/>
      <c r="K22" s="88"/>
      <c r="L22" s="89"/>
      <c r="M22" s="88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2:73" ht="15.75" x14ac:dyDescent="0.25">
      <c r="B23" s="74"/>
      <c r="C23" s="164" t="s">
        <v>289</v>
      </c>
      <c r="D23" s="169">
        <v>191.52</v>
      </c>
      <c r="E23" s="177">
        <v>191.52</v>
      </c>
      <c r="F23" s="162"/>
      <c r="G23" s="164" t="s">
        <v>291</v>
      </c>
      <c r="H23" s="168">
        <v>274.68</v>
      </c>
      <c r="I23" s="176">
        <v>274.68</v>
      </c>
      <c r="J23" s="87"/>
      <c r="K23" s="88"/>
      <c r="L23" s="89"/>
      <c r="M23" s="88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2:73" ht="15.75" x14ac:dyDescent="0.25">
      <c r="B24" s="74"/>
      <c r="C24" s="161"/>
      <c r="D24" s="162"/>
      <c r="E24" s="162"/>
      <c r="F24" s="162"/>
      <c r="G24" s="164" t="s">
        <v>292</v>
      </c>
      <c r="H24" s="168">
        <v>299.52</v>
      </c>
      <c r="I24" s="175">
        <v>299.52</v>
      </c>
      <c r="J24" s="87"/>
      <c r="K24" s="88"/>
      <c r="L24" s="89"/>
      <c r="M24" s="88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2:73" ht="15.75" x14ac:dyDescent="0.25">
      <c r="B25" s="74"/>
      <c r="C25" s="161"/>
      <c r="D25" s="162"/>
      <c r="E25" s="162"/>
      <c r="F25" s="162"/>
      <c r="G25" s="164" t="s">
        <v>293</v>
      </c>
      <c r="H25" s="168">
        <v>337.56</v>
      </c>
      <c r="I25" s="175">
        <v>337.56</v>
      </c>
      <c r="J25" s="87"/>
      <c r="K25" s="88"/>
      <c r="L25" s="89"/>
      <c r="M25" s="88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2:73" ht="15.75" x14ac:dyDescent="0.25">
      <c r="B26" s="74"/>
      <c r="C26" s="79"/>
      <c r="D26" s="84"/>
      <c r="E26" s="84"/>
      <c r="F26" s="84"/>
      <c r="G26" s="91"/>
      <c r="H26" s="91"/>
      <c r="I26" s="92"/>
      <c r="J26" s="87"/>
      <c r="K26" s="88"/>
      <c r="L26" s="89"/>
      <c r="M26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2:73" ht="18" customHeight="1" x14ac:dyDescent="0.3">
      <c r="B27" s="74"/>
      <c r="C27" s="121" t="s">
        <v>177</v>
      </c>
      <c r="D27" s="84"/>
      <c r="E27" s="84"/>
      <c r="F27" s="84"/>
      <c r="G27" s="85"/>
      <c r="H27" s="86"/>
      <c r="I27" s="87"/>
      <c r="J27" s="87"/>
      <c r="K27" s="88"/>
      <c r="L27" s="89"/>
      <c r="M27" s="88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2:73" ht="3" customHeight="1" x14ac:dyDescent="0.25">
      <c r="B28" s="74"/>
      <c r="C28" s="102"/>
      <c r="D28" s="103"/>
      <c r="E28" s="103"/>
      <c r="F28" s="103"/>
      <c r="G28" s="104"/>
      <c r="H28" s="100"/>
      <c r="I28" s="100"/>
      <c r="J28" s="100"/>
      <c r="K28" s="88"/>
      <c r="L28" s="89"/>
      <c r="M28" s="88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2:73" ht="9" customHeight="1" x14ac:dyDescent="0.25">
      <c r="B29" s="74"/>
      <c r="C29" s="83"/>
      <c r="D29" s="84"/>
      <c r="E29" s="84"/>
      <c r="F29" s="84"/>
      <c r="G29" s="85"/>
      <c r="H29" s="86"/>
      <c r="I29" s="87"/>
      <c r="J29" s="87"/>
      <c r="K29" s="88"/>
      <c r="L29" s="89"/>
      <c r="M29" s="88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2:73" ht="15.75" x14ac:dyDescent="0.25">
      <c r="B30" s="74"/>
      <c r="C30" s="79"/>
      <c r="D30" s="84"/>
      <c r="E30" s="84"/>
      <c r="F30" s="84"/>
      <c r="G30" s="91"/>
      <c r="H30" s="86"/>
      <c r="I30" s="92"/>
      <c r="J30" s="87"/>
      <c r="K30" s="88"/>
      <c r="L30" s="89"/>
      <c r="M30" s="88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2:73" ht="15.75" x14ac:dyDescent="0.25">
      <c r="B31" s="74"/>
      <c r="C31" s="185" t="s">
        <v>216</v>
      </c>
      <c r="D31" s="182"/>
      <c r="E31" s="188" t="s">
        <v>350</v>
      </c>
      <c r="F31" s="182"/>
      <c r="G31" s="185" t="s">
        <v>290</v>
      </c>
      <c r="H31" s="183"/>
      <c r="I31" s="188" t="s">
        <v>350</v>
      </c>
      <c r="J31" s="87"/>
      <c r="K31" s="88"/>
      <c r="L31" s="89"/>
      <c r="M31" s="88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2:73" ht="15.75" x14ac:dyDescent="0.25">
      <c r="B32" s="74"/>
      <c r="C32" s="184" t="s">
        <v>202</v>
      </c>
      <c r="D32" s="186">
        <v>6.367</v>
      </c>
      <c r="E32" s="187">
        <v>6.367</v>
      </c>
      <c r="F32" s="182"/>
      <c r="G32" s="184" t="s">
        <v>202</v>
      </c>
      <c r="H32" s="186">
        <v>250.53</v>
      </c>
      <c r="I32" s="187">
        <v>250.53</v>
      </c>
      <c r="J32" s="87"/>
      <c r="K32" s="88"/>
      <c r="L32" s="89"/>
      <c r="M32" s="88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2:73" ht="15.75" x14ac:dyDescent="0.25">
      <c r="B33" s="74"/>
      <c r="C33" s="184" t="s">
        <v>294</v>
      </c>
      <c r="D33" s="186">
        <v>6.37</v>
      </c>
      <c r="E33" s="187">
        <v>6.37</v>
      </c>
      <c r="F33" s="182"/>
      <c r="G33" s="184" t="s">
        <v>294</v>
      </c>
      <c r="H33" s="186">
        <v>250.53</v>
      </c>
      <c r="I33" s="187">
        <v>250.53</v>
      </c>
      <c r="J33" s="87"/>
      <c r="K33" s="88"/>
      <c r="L33" s="89"/>
      <c r="M33" s="88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2:73" ht="15.75" x14ac:dyDescent="0.25">
      <c r="B34" s="74"/>
      <c r="C34" s="79"/>
      <c r="D34" s="84"/>
      <c r="E34" s="84"/>
      <c r="F34" s="84"/>
      <c r="G34" s="91"/>
      <c r="H34" s="86"/>
      <c r="I34" s="92"/>
      <c r="J34" s="87"/>
      <c r="K34" s="88"/>
      <c r="L34" s="89"/>
      <c r="M34" s="8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2:73" ht="18" customHeight="1" x14ac:dyDescent="0.3">
      <c r="B35" s="74"/>
      <c r="C35" s="121" t="s">
        <v>176</v>
      </c>
      <c r="D35" s="84"/>
      <c r="E35" s="84"/>
      <c r="F35" s="84"/>
      <c r="G35" s="85"/>
      <c r="H35" s="86"/>
      <c r="I35" s="87"/>
      <c r="J35" s="87"/>
      <c r="K35" s="88"/>
      <c r="L35" s="89"/>
      <c r="M35" s="8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2:73" ht="3" customHeight="1" x14ac:dyDescent="0.25">
      <c r="B36" s="74"/>
      <c r="C36" s="102"/>
      <c r="D36" s="103"/>
      <c r="E36" s="103"/>
      <c r="F36" s="103"/>
      <c r="G36" s="104"/>
      <c r="H36" s="100"/>
      <c r="I36" s="105"/>
      <c r="J36" s="105"/>
      <c r="K36" s="88"/>
      <c r="L36" s="89"/>
      <c r="M36" s="88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2:73" ht="9" customHeight="1" x14ac:dyDescent="0.25">
      <c r="B37" s="74"/>
      <c r="C37" s="83"/>
      <c r="D37" s="84"/>
      <c r="E37" s="84"/>
      <c r="F37" s="84"/>
      <c r="G37" s="85"/>
      <c r="H37" s="86"/>
      <c r="I37" s="87"/>
      <c r="J37" s="87"/>
      <c r="K37" s="88"/>
      <c r="L37" s="89"/>
      <c r="M37" s="88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2:73" ht="15.75" x14ac:dyDescent="0.25">
      <c r="B38" s="74"/>
      <c r="C38" s="79"/>
      <c r="D38" s="84"/>
      <c r="E38" s="84"/>
      <c r="F38" s="84"/>
      <c r="G38" s="91"/>
      <c r="H38" s="86"/>
      <c r="I38" s="92"/>
      <c r="J38" s="87"/>
      <c r="K38" s="88"/>
      <c r="L38" s="89"/>
      <c r="M38" s="88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2:73" ht="15.75" x14ac:dyDescent="0.25">
      <c r="B39" s="74"/>
      <c r="C39" s="180" t="s">
        <v>203</v>
      </c>
      <c r="D39" s="180"/>
      <c r="E39" s="192" t="s">
        <v>350</v>
      </c>
      <c r="F39" s="84"/>
      <c r="G39" s="91"/>
      <c r="H39" s="86"/>
      <c r="I39" s="92"/>
      <c r="J39" s="87"/>
      <c r="K39" s="88"/>
      <c r="L39" s="89"/>
      <c r="M39" s="88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2:73" ht="15.75" x14ac:dyDescent="0.25">
      <c r="B40" s="74"/>
      <c r="C40" s="189" t="s">
        <v>176</v>
      </c>
      <c r="D40" s="191">
        <v>9.33</v>
      </c>
      <c r="E40" s="190">
        <v>9.33</v>
      </c>
      <c r="F40" s="84"/>
      <c r="G40" s="91"/>
      <c r="H40" s="86"/>
      <c r="I40" s="92"/>
      <c r="J40" s="87"/>
      <c r="K40" s="88"/>
      <c r="L40" s="89"/>
      <c r="M40" s="88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2:73" ht="15.75" x14ac:dyDescent="0.25">
      <c r="B41" s="74"/>
      <c r="C41" s="79"/>
      <c r="D41" s="84"/>
      <c r="E41" s="84"/>
      <c r="F41" s="84"/>
      <c r="G41" s="91"/>
      <c r="H41" s="86"/>
      <c r="I41" s="92"/>
      <c r="J41" s="87"/>
      <c r="K41" s="88"/>
      <c r="L41" s="89"/>
      <c r="M41" s="88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2:73" ht="15.75" x14ac:dyDescent="0.25">
      <c r="B42" s="74"/>
      <c r="C42" s="79"/>
      <c r="D42" s="84"/>
      <c r="E42" s="84"/>
      <c r="F42" s="84"/>
      <c r="G42" s="91"/>
      <c r="H42" s="86"/>
      <c r="I42" s="92"/>
      <c r="J42" s="87"/>
      <c r="K42" s="88"/>
      <c r="L42" s="89"/>
      <c r="M42" s="88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2:73" ht="18" customHeight="1" x14ac:dyDescent="0.3">
      <c r="B43" s="74"/>
      <c r="C43" s="121" t="s">
        <v>178</v>
      </c>
      <c r="D43" s="84"/>
      <c r="E43" s="84"/>
      <c r="F43" s="84"/>
      <c r="G43" s="85"/>
      <c r="H43" s="86"/>
      <c r="I43" s="87"/>
      <c r="J43" s="87"/>
      <c r="K43" s="88"/>
      <c r="L43" s="89"/>
      <c r="M43" s="88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2:73" ht="3" customHeight="1" x14ac:dyDescent="0.25">
      <c r="B44" s="74"/>
      <c r="C44" s="102"/>
      <c r="D44" s="103"/>
      <c r="E44" s="103"/>
      <c r="F44" s="103"/>
      <c r="G44" s="104"/>
      <c r="H44" s="100"/>
      <c r="I44" s="105"/>
      <c r="J44" s="105"/>
      <c r="K44" s="88"/>
      <c r="L44" s="89"/>
      <c r="M44" s="88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2:73" ht="9" customHeight="1" x14ac:dyDescent="0.25">
      <c r="B45" s="74"/>
      <c r="C45" s="83"/>
      <c r="D45" s="84"/>
      <c r="E45" s="84"/>
      <c r="F45" s="84"/>
      <c r="G45" s="85"/>
      <c r="H45" s="86"/>
      <c r="I45" s="87"/>
      <c r="J45" s="87"/>
      <c r="K45" s="88"/>
      <c r="L45" s="89"/>
      <c r="M45" s="88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2:73" ht="15.75" x14ac:dyDescent="0.25">
      <c r="B46" s="74"/>
      <c r="C46" s="79"/>
      <c r="D46" s="84"/>
      <c r="E46" s="84"/>
      <c r="F46" s="84"/>
      <c r="G46" s="91"/>
      <c r="H46" s="86"/>
      <c r="I46" s="92"/>
      <c r="J46" s="87"/>
      <c r="K46" s="88"/>
      <c r="L46" s="89"/>
      <c r="M46" s="88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2:73" ht="15.75" x14ac:dyDescent="0.25">
      <c r="B47" s="74"/>
      <c r="C47" s="196" t="s">
        <v>217</v>
      </c>
      <c r="D47" s="193"/>
      <c r="E47" s="198" t="s">
        <v>350</v>
      </c>
      <c r="F47" s="84"/>
      <c r="G47" s="91"/>
      <c r="H47" s="86"/>
      <c r="I47" s="92"/>
      <c r="J47" s="87"/>
      <c r="K47" s="88"/>
      <c r="L47" s="89"/>
      <c r="M47" s="88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2:73" ht="15.75" x14ac:dyDescent="0.25">
      <c r="B48" s="74"/>
      <c r="C48" s="194" t="s">
        <v>178</v>
      </c>
      <c r="D48" s="197">
        <v>14.8</v>
      </c>
      <c r="E48" s="195">
        <v>14.8</v>
      </c>
      <c r="F48" s="84"/>
      <c r="G48" s="91"/>
      <c r="H48" s="86"/>
      <c r="I48" s="92"/>
      <c r="J48" s="87"/>
      <c r="K48" s="88"/>
      <c r="L48" s="89"/>
      <c r="M48" s="88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2:73" ht="15.75" x14ac:dyDescent="0.25">
      <c r="B49" s="74"/>
      <c r="C49" s="79"/>
      <c r="D49" s="84"/>
      <c r="E49" s="84"/>
      <c r="F49" s="84"/>
      <c r="G49" s="91"/>
      <c r="H49" s="86"/>
      <c r="I49" s="92"/>
      <c r="J49" s="87"/>
      <c r="K49" s="88"/>
      <c r="L49" s="89"/>
      <c r="M49" s="88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2:73" ht="15.75" x14ac:dyDescent="0.25">
      <c r="B50" s="74"/>
      <c r="C50" s="79"/>
      <c r="D50" s="84"/>
      <c r="E50" s="84"/>
      <c r="F50" s="84"/>
      <c r="G50" s="91"/>
      <c r="H50" s="86"/>
      <c r="I50" s="92"/>
      <c r="J50" s="87"/>
      <c r="K50" s="88"/>
      <c r="L50" s="89"/>
      <c r="M50" s="88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2:73" ht="18" customHeight="1" x14ac:dyDescent="0.3">
      <c r="B51" s="74"/>
      <c r="C51" s="121" t="s">
        <v>205</v>
      </c>
      <c r="D51" s="84"/>
      <c r="E51" s="84"/>
      <c r="F51" s="84"/>
      <c r="G51" s="85"/>
      <c r="H51" s="86"/>
      <c r="I51" s="87"/>
      <c r="J51" s="87"/>
      <c r="K51" s="88"/>
      <c r="L51" s="89"/>
      <c r="M51" s="88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2:73" ht="3" customHeight="1" x14ac:dyDescent="0.25">
      <c r="B52" s="74"/>
      <c r="C52" s="102"/>
      <c r="D52" s="103"/>
      <c r="E52" s="103"/>
      <c r="F52" s="103"/>
      <c r="G52" s="104"/>
      <c r="H52" s="100"/>
      <c r="I52" s="105"/>
      <c r="J52" s="105"/>
      <c r="K52" s="88"/>
      <c r="L52" s="89"/>
      <c r="M52" s="88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2:73" ht="9" customHeight="1" x14ac:dyDescent="0.25">
      <c r="B53" s="74"/>
      <c r="C53" s="83"/>
      <c r="D53" s="84"/>
      <c r="E53" s="84"/>
      <c r="F53" s="84"/>
      <c r="G53" s="85"/>
      <c r="H53" s="86"/>
      <c r="I53" s="87"/>
      <c r="J53" s="87"/>
      <c r="K53" s="88"/>
      <c r="L53" s="89"/>
      <c r="M53" s="88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2:73" ht="15.75" x14ac:dyDescent="0.25">
      <c r="B54" s="74"/>
      <c r="C54" s="79"/>
      <c r="D54" s="84"/>
      <c r="E54" s="84"/>
      <c r="F54" s="84"/>
      <c r="G54" s="91"/>
      <c r="H54" s="86"/>
      <c r="I54" s="92"/>
      <c r="J54" s="87"/>
      <c r="K54" s="88"/>
      <c r="L54" s="89"/>
      <c r="M54" s="88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2:73" ht="15.75" x14ac:dyDescent="0.25">
      <c r="B55" s="74"/>
      <c r="C55" s="180" t="s">
        <v>204</v>
      </c>
      <c r="D55" s="180"/>
      <c r="E55" s="201"/>
      <c r="F55" s="199"/>
      <c r="G55" s="180" t="s">
        <v>206</v>
      </c>
      <c r="H55" s="180"/>
      <c r="I55" s="73"/>
      <c r="J55" s="87"/>
      <c r="K55" s="88"/>
      <c r="L55" s="89"/>
      <c r="M55" s="88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2:73" ht="15.75" x14ac:dyDescent="0.25">
      <c r="B56" s="74"/>
      <c r="C56" s="200" t="s">
        <v>205</v>
      </c>
      <c r="D56" s="203">
        <v>70</v>
      </c>
      <c r="E56" s="202"/>
      <c r="F56" s="199"/>
      <c r="G56" s="200" t="s">
        <v>207</v>
      </c>
      <c r="H56" s="203">
        <v>278.2</v>
      </c>
      <c r="I56" s="75"/>
      <c r="J56" s="87"/>
      <c r="K56" s="88"/>
      <c r="L56" s="89"/>
      <c r="M56" s="8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2:73" ht="15.75" x14ac:dyDescent="0.25">
      <c r="B57" s="74"/>
      <c r="C57" s="79"/>
      <c r="D57" s="84"/>
      <c r="E57" s="84"/>
      <c r="F57" s="84"/>
      <c r="G57" s="91"/>
      <c r="H57" s="86"/>
      <c r="I57" s="92"/>
      <c r="J57" s="87"/>
      <c r="K57" s="88"/>
      <c r="L57" s="89"/>
      <c r="M57" s="8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2:73" ht="15.75" x14ac:dyDescent="0.25">
      <c r="B58" s="74"/>
      <c r="C58" s="79"/>
      <c r="D58" s="84"/>
      <c r="E58" s="84"/>
      <c r="F58" s="84"/>
      <c r="G58" s="91"/>
      <c r="H58" s="86"/>
      <c r="I58" s="92"/>
      <c r="J58" s="87"/>
      <c r="K58" s="88"/>
      <c r="L58" s="89"/>
      <c r="M58" s="88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2:73" ht="15.75" x14ac:dyDescent="0.25">
      <c r="B59" s="74"/>
      <c r="C59" s="79"/>
      <c r="D59" s="84"/>
      <c r="E59" s="84"/>
      <c r="F59" s="84"/>
      <c r="G59" s="91"/>
      <c r="H59" s="86"/>
      <c r="I59" s="92"/>
      <c r="J59" s="87"/>
      <c r="K59" s="88"/>
      <c r="L59" s="89"/>
      <c r="M59" s="88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2:73" ht="15.75" x14ac:dyDescent="0.25">
      <c r="B60" s="74"/>
      <c r="C60" s="79"/>
      <c r="D60" s="84"/>
      <c r="E60" s="84"/>
      <c r="F60" s="84"/>
      <c r="G60" s="91"/>
      <c r="H60" s="86"/>
      <c r="I60" s="92"/>
      <c r="J60" s="87"/>
      <c r="K60" s="88"/>
      <c r="L60" s="89"/>
      <c r="M60" s="88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2:73" ht="15.75" x14ac:dyDescent="0.25">
      <c r="B61" s="74"/>
      <c r="C61" s="79"/>
      <c r="D61" s="84"/>
      <c r="E61" s="84"/>
      <c r="F61" s="84"/>
      <c r="G61" s="91"/>
      <c r="H61" s="86"/>
      <c r="I61" s="92"/>
      <c r="J61" s="87"/>
      <c r="K61" s="88"/>
      <c r="L61" s="89"/>
      <c r="M61" s="88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2:73" ht="14.25" customHeight="1" x14ac:dyDescent="0.2">
      <c r="B62" s="74"/>
      <c r="C62" s="93" t="s">
        <v>244</v>
      </c>
      <c r="D62" s="153" t="s">
        <v>342</v>
      </c>
      <c r="E62" s="153"/>
      <c r="F62" s="153"/>
      <c r="G62" s="153"/>
      <c r="H62" s="86"/>
      <c r="I62" s="87"/>
      <c r="J62" s="87"/>
      <c r="K62" s="88"/>
      <c r="L62" s="89"/>
      <c r="M62" s="88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2:73" ht="18" customHeight="1" x14ac:dyDescent="0.25">
      <c r="B63" s="74"/>
      <c r="C63" s="83"/>
      <c r="D63" s="84"/>
      <c r="E63" s="84"/>
      <c r="F63" s="84"/>
      <c r="G63" s="85"/>
      <c r="H63" s="86"/>
      <c r="I63" s="87"/>
      <c r="J63" s="87"/>
      <c r="K63" s="88"/>
      <c r="L63" s="89"/>
      <c r="M63" s="88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2:73" x14ac:dyDescent="0.2">
      <c r="B64" s="74"/>
      <c r="C64" s="74"/>
      <c r="D64" s="86"/>
      <c r="E64" s="86"/>
      <c r="F64" s="86"/>
      <c r="G64" s="74"/>
      <c r="H64" s="86"/>
      <c r="I64" s="86"/>
      <c r="J64" s="86"/>
      <c r="K64" s="94"/>
      <c r="L64" s="94"/>
      <c r="M64" s="94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2:10" x14ac:dyDescent="0.2">
      <c r="B65" s="74"/>
      <c r="C65" s="74"/>
      <c r="D65" s="74"/>
      <c r="E65" s="74"/>
      <c r="F65" s="74"/>
      <c r="G65" s="74"/>
      <c r="H65" s="74"/>
      <c r="I65" s="74"/>
      <c r="J65" s="74"/>
    </row>
    <row r="66" spans="2:10" x14ac:dyDescent="0.2">
      <c r="B66" s="74"/>
      <c r="C66" s="74"/>
      <c r="D66" s="74"/>
      <c r="E66" s="74"/>
      <c r="F66" s="74"/>
      <c r="G66" s="74"/>
      <c r="H66" s="74"/>
      <c r="I66" s="74"/>
      <c r="J66" s="74"/>
    </row>
    <row r="67" spans="2:10" x14ac:dyDescent="0.2">
      <c r="B67" s="74"/>
      <c r="C67" s="74"/>
      <c r="D67" s="74"/>
      <c r="E67" s="74"/>
      <c r="F67" s="74"/>
      <c r="G67" s="74"/>
      <c r="H67" s="74"/>
      <c r="I67" s="74"/>
      <c r="J67" s="74"/>
    </row>
    <row r="68" spans="2:10" x14ac:dyDescent="0.2">
      <c r="B68" s="74"/>
      <c r="C68" s="74"/>
      <c r="D68" s="74"/>
      <c r="E68" s="74"/>
      <c r="F68" s="74"/>
      <c r="G68" s="74"/>
      <c r="H68" s="74"/>
      <c r="I68" s="74"/>
      <c r="J68" s="74"/>
    </row>
    <row r="69" spans="2:10" x14ac:dyDescent="0.2">
      <c r="B69" s="74"/>
      <c r="C69" s="74"/>
      <c r="D69" s="74"/>
      <c r="E69" s="74"/>
      <c r="F69" s="74"/>
      <c r="G69" s="74"/>
      <c r="H69" s="74"/>
      <c r="I69" s="74"/>
      <c r="J69" s="74"/>
    </row>
    <row r="70" spans="2:10" x14ac:dyDescent="0.2">
      <c r="B70" s="74"/>
      <c r="C70" s="74"/>
      <c r="D70" s="74"/>
      <c r="E70" s="74"/>
      <c r="F70" s="74"/>
      <c r="G70" s="74"/>
      <c r="H70" s="74"/>
      <c r="I70" s="74"/>
      <c r="J70" s="74"/>
    </row>
    <row r="71" spans="2:10" x14ac:dyDescent="0.2">
      <c r="B71" s="74"/>
      <c r="C71" s="74"/>
      <c r="D71" s="74"/>
      <c r="E71" s="74"/>
      <c r="F71" s="74"/>
      <c r="G71" s="74"/>
      <c r="H71" s="74"/>
      <c r="I71" s="74"/>
      <c r="J71" s="74"/>
    </row>
    <row r="72" spans="2:10" x14ac:dyDescent="0.2">
      <c r="B72" s="74"/>
      <c r="C72" s="74"/>
      <c r="D72" s="74"/>
      <c r="E72" s="74"/>
      <c r="F72" s="74"/>
      <c r="G72" s="74"/>
      <c r="H72" s="74"/>
      <c r="I72" s="74"/>
      <c r="J72" s="74"/>
    </row>
    <row r="73" spans="2:10" x14ac:dyDescent="0.2">
      <c r="B73" s="74"/>
      <c r="C73" s="74"/>
      <c r="D73" s="74"/>
      <c r="E73" s="74"/>
      <c r="F73" s="74"/>
      <c r="G73" s="74"/>
      <c r="H73" s="74"/>
      <c r="I73" s="74"/>
      <c r="J73" s="74"/>
    </row>
    <row r="74" spans="2:10" x14ac:dyDescent="0.2">
      <c r="B74" s="74"/>
      <c r="C74" s="74"/>
      <c r="D74" s="74"/>
      <c r="E74" s="74"/>
      <c r="F74" s="74"/>
      <c r="G74" s="74"/>
      <c r="H74" s="74"/>
      <c r="I74" s="74"/>
      <c r="J74" s="74"/>
    </row>
    <row r="75" spans="2:10" x14ac:dyDescent="0.2">
      <c r="B75" s="74"/>
      <c r="C75" s="74"/>
      <c r="D75" s="74"/>
      <c r="E75" s="74"/>
      <c r="F75" s="74"/>
      <c r="G75" s="74"/>
      <c r="H75" s="74"/>
      <c r="I75" s="74"/>
      <c r="J75" s="74"/>
    </row>
    <row r="76" spans="2:10" x14ac:dyDescent="0.2">
      <c r="B76" s="74"/>
      <c r="C76" s="74"/>
      <c r="D76" s="74"/>
      <c r="E76" s="74"/>
      <c r="F76" s="74"/>
      <c r="G76" s="74"/>
      <c r="H76" s="74"/>
      <c r="I76" s="74"/>
      <c r="J76" s="74"/>
    </row>
    <row r="77" spans="2:10" x14ac:dyDescent="0.2">
      <c r="B77" s="74"/>
      <c r="C77" s="74"/>
      <c r="D77" s="74"/>
      <c r="E77" s="74"/>
      <c r="F77" s="74"/>
      <c r="G77" s="74"/>
      <c r="H77" s="74"/>
      <c r="I77" s="74"/>
      <c r="J77" s="74"/>
    </row>
    <row r="78" spans="2:10" x14ac:dyDescent="0.2">
      <c r="B78" s="74"/>
      <c r="C78" s="74"/>
      <c r="D78" s="74"/>
      <c r="E78" s="74"/>
      <c r="F78" s="74"/>
      <c r="G78" s="74"/>
      <c r="H78" s="74"/>
      <c r="I78" s="74"/>
      <c r="J78" s="74"/>
    </row>
    <row r="79" spans="2:10" x14ac:dyDescent="0.2">
      <c r="B79" s="74"/>
      <c r="C79" s="74"/>
      <c r="D79" s="74"/>
      <c r="E79" s="74"/>
      <c r="F79" s="74"/>
      <c r="G79" s="74"/>
      <c r="H79" s="74"/>
      <c r="I79" s="74"/>
      <c r="J79" s="74"/>
    </row>
    <row r="80" spans="2:10" x14ac:dyDescent="0.2">
      <c r="B80" s="74"/>
      <c r="C80" s="74"/>
      <c r="D80" s="74"/>
      <c r="E80" s="74"/>
      <c r="F80" s="74"/>
      <c r="G80" s="74"/>
      <c r="H80" s="74"/>
      <c r="I80" s="74"/>
      <c r="J80" s="74"/>
    </row>
    <row r="81" spans="2:10" x14ac:dyDescent="0.2">
      <c r="B81" s="74"/>
      <c r="C81" s="74"/>
      <c r="D81" s="74"/>
      <c r="E81" s="74"/>
      <c r="F81" s="74"/>
      <c r="G81" s="74"/>
      <c r="H81" s="74"/>
      <c r="I81" s="74"/>
      <c r="J81" s="74"/>
    </row>
    <row r="82" spans="2:10" x14ac:dyDescent="0.2">
      <c r="B82" s="74"/>
      <c r="C82" s="74"/>
      <c r="D82" s="74"/>
      <c r="E82" s="74"/>
      <c r="F82" s="74"/>
      <c r="G82" s="74"/>
      <c r="H82" s="74"/>
      <c r="I82" s="74"/>
      <c r="J82" s="74"/>
    </row>
    <row r="83" spans="2:10" x14ac:dyDescent="0.2">
      <c r="B83" s="74"/>
      <c r="C83" s="74"/>
      <c r="D83" s="74"/>
      <c r="E83" s="74"/>
      <c r="F83" s="74"/>
      <c r="G83" s="74"/>
      <c r="H83" s="74"/>
      <c r="I83" s="74"/>
      <c r="J83" s="74"/>
    </row>
    <row r="84" spans="2:10" x14ac:dyDescent="0.2">
      <c r="B84" s="74"/>
      <c r="C84" s="74"/>
      <c r="D84" s="74"/>
      <c r="E84" s="74"/>
      <c r="F84" s="74"/>
      <c r="G84" s="74"/>
      <c r="H84" s="74"/>
      <c r="I84" s="74"/>
      <c r="J84" s="74"/>
    </row>
    <row r="85" spans="2:10" x14ac:dyDescent="0.2">
      <c r="B85" s="74"/>
      <c r="C85" s="74"/>
      <c r="D85" s="74"/>
      <c r="E85" s="74"/>
      <c r="F85" s="74"/>
      <c r="G85" s="74"/>
      <c r="H85" s="74"/>
      <c r="I85" s="74"/>
      <c r="J85" s="74"/>
    </row>
    <row r="86" spans="2:10" x14ac:dyDescent="0.2">
      <c r="B86" s="74"/>
      <c r="C86" s="74"/>
      <c r="D86" s="74"/>
      <c r="E86" s="74"/>
      <c r="F86" s="74"/>
      <c r="G86" s="74"/>
      <c r="H86" s="74"/>
      <c r="I86" s="74"/>
      <c r="J86" s="74"/>
    </row>
    <row r="87" spans="2:10" x14ac:dyDescent="0.2">
      <c r="B87" s="74"/>
      <c r="C87" s="74"/>
      <c r="D87" s="74"/>
      <c r="E87" s="74"/>
      <c r="F87" s="74"/>
      <c r="G87" s="74"/>
      <c r="H87" s="74"/>
      <c r="I87" s="74"/>
      <c r="J87" s="74"/>
    </row>
    <row r="88" spans="2:10" x14ac:dyDescent="0.2">
      <c r="B88" s="74"/>
      <c r="C88" s="74"/>
      <c r="D88" s="74"/>
      <c r="E88" s="74"/>
      <c r="F88" s="74"/>
      <c r="G88" s="74"/>
      <c r="H88" s="74"/>
      <c r="I88" s="74"/>
      <c r="J88" s="74"/>
    </row>
    <row r="89" spans="2:10" x14ac:dyDescent="0.2">
      <c r="B89" s="74"/>
      <c r="C89" s="74"/>
      <c r="D89" s="74"/>
      <c r="E89" s="74"/>
      <c r="F89" s="74"/>
      <c r="G89" s="74"/>
      <c r="H89" s="74"/>
      <c r="I89" s="74"/>
      <c r="J89" s="74"/>
    </row>
    <row r="90" spans="2:10" x14ac:dyDescent="0.2">
      <c r="B90" s="74"/>
      <c r="C90" s="74"/>
      <c r="D90" s="74"/>
      <c r="E90" s="74"/>
      <c r="F90" s="74"/>
      <c r="G90" s="74"/>
      <c r="H90" s="74"/>
      <c r="I90" s="74"/>
      <c r="J90" s="74"/>
    </row>
    <row r="91" spans="2:10" x14ac:dyDescent="0.2">
      <c r="B91" s="74"/>
      <c r="C91" s="74"/>
      <c r="D91" s="74"/>
      <c r="E91" s="74"/>
      <c r="F91" s="74"/>
      <c r="G91" s="74"/>
      <c r="H91" s="74"/>
      <c r="I91" s="74"/>
      <c r="J91" s="74"/>
    </row>
    <row r="92" spans="2:10" x14ac:dyDescent="0.2">
      <c r="B92" s="74"/>
      <c r="C92" s="74"/>
      <c r="D92" s="74"/>
      <c r="E92" s="74"/>
      <c r="F92" s="74"/>
      <c r="G92" s="74"/>
      <c r="H92" s="74"/>
      <c r="I92" s="74"/>
      <c r="J92" s="74"/>
    </row>
    <row r="93" spans="2:10" x14ac:dyDescent="0.2">
      <c r="B93" s="74"/>
      <c r="C93" s="74"/>
      <c r="D93" s="74"/>
      <c r="E93" s="74"/>
      <c r="F93" s="74"/>
      <c r="G93" s="74"/>
      <c r="H93" s="74"/>
      <c r="I93" s="74"/>
      <c r="J93" s="74"/>
    </row>
    <row r="94" spans="2:10" x14ac:dyDescent="0.2">
      <c r="B94" s="74"/>
      <c r="C94" s="74"/>
      <c r="D94" s="74"/>
      <c r="E94" s="74"/>
      <c r="F94" s="74"/>
      <c r="G94" s="74"/>
      <c r="H94" s="74"/>
      <c r="I94" s="74"/>
      <c r="J94" s="74"/>
    </row>
    <row r="95" spans="2:10" x14ac:dyDescent="0.2">
      <c r="B95" s="74"/>
      <c r="C95" s="74"/>
      <c r="D95" s="74"/>
      <c r="E95" s="74"/>
      <c r="F95" s="74"/>
      <c r="G95" s="74"/>
      <c r="H95" s="74"/>
      <c r="I95" s="74"/>
      <c r="J95" s="74"/>
    </row>
    <row r="96" spans="2:10" x14ac:dyDescent="0.2">
      <c r="B96" s="74"/>
      <c r="C96" s="74"/>
      <c r="D96" s="74"/>
      <c r="E96" s="74"/>
      <c r="F96" s="74"/>
      <c r="G96" s="74"/>
      <c r="H96" s="74"/>
      <c r="I96" s="74"/>
      <c r="J96" s="74"/>
    </row>
    <row r="97" spans="2:10" x14ac:dyDescent="0.2">
      <c r="B97" s="74"/>
      <c r="C97" s="74"/>
      <c r="D97" s="74"/>
      <c r="E97" s="74"/>
      <c r="F97" s="74"/>
      <c r="G97" s="74"/>
      <c r="H97" s="74"/>
      <c r="I97" s="74"/>
      <c r="J97" s="74"/>
    </row>
    <row r="98" spans="2:10" x14ac:dyDescent="0.2">
      <c r="B98" s="74"/>
      <c r="C98" s="74"/>
      <c r="D98" s="74"/>
      <c r="E98" s="74"/>
      <c r="F98" s="74"/>
      <c r="G98" s="74"/>
      <c r="H98" s="74"/>
      <c r="I98" s="74"/>
      <c r="J98" s="74"/>
    </row>
    <row r="99" spans="2:10" x14ac:dyDescent="0.2">
      <c r="B99" s="74"/>
      <c r="C99" s="74"/>
      <c r="D99" s="74"/>
      <c r="E99" s="74"/>
      <c r="F99" s="74"/>
      <c r="G99" s="74"/>
      <c r="H99" s="74"/>
      <c r="I99" s="74"/>
      <c r="J99" s="74"/>
    </row>
    <row r="100" spans="2:10" x14ac:dyDescent="0.2"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2:10" x14ac:dyDescent="0.2"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2:10" x14ac:dyDescent="0.2"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2:10" x14ac:dyDescent="0.2"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2:10" x14ac:dyDescent="0.2"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2:10" x14ac:dyDescent="0.2">
      <c r="B105" s="74"/>
      <c r="C105" s="74"/>
      <c r="D105" s="74"/>
      <c r="E105" s="74"/>
      <c r="F105" s="74"/>
      <c r="G105" s="74"/>
      <c r="H105" s="74"/>
      <c r="I105" s="74"/>
      <c r="J105" s="74"/>
    </row>
    <row r="106" spans="2:10" x14ac:dyDescent="0.2">
      <c r="B106" s="74"/>
      <c r="C106" s="74"/>
      <c r="D106" s="74"/>
      <c r="E106" s="74"/>
      <c r="F106" s="74"/>
      <c r="G106" s="74"/>
      <c r="H106" s="74"/>
      <c r="I106" s="74"/>
      <c r="J106" s="74"/>
    </row>
    <row r="107" spans="2:10" x14ac:dyDescent="0.2"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2:10" x14ac:dyDescent="0.2"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2:10" x14ac:dyDescent="0.2">
      <c r="B109" s="74"/>
      <c r="C109" s="74"/>
      <c r="D109" s="74"/>
      <c r="E109" s="74"/>
      <c r="F109" s="74"/>
      <c r="G109" s="74"/>
      <c r="H109" s="74"/>
      <c r="I109" s="74"/>
      <c r="J109" s="74"/>
    </row>
    <row r="110" spans="2:10" x14ac:dyDescent="0.2"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2:10" x14ac:dyDescent="0.2"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2:10" x14ac:dyDescent="0.2">
      <c r="B112" s="74"/>
      <c r="C112" s="74"/>
      <c r="D112" s="74"/>
      <c r="E112" s="74"/>
      <c r="F112" s="74"/>
      <c r="G112" s="74"/>
      <c r="H112" s="74"/>
      <c r="I112" s="74"/>
      <c r="J112" s="74"/>
    </row>
    <row r="113" spans="2:10" x14ac:dyDescent="0.2">
      <c r="B113" s="74"/>
      <c r="C113" s="74"/>
      <c r="D113" s="74"/>
      <c r="E113" s="74"/>
      <c r="F113" s="74"/>
      <c r="G113" s="74"/>
      <c r="H113" s="74"/>
      <c r="I113" s="74"/>
      <c r="J113" s="74"/>
    </row>
    <row r="114" spans="2:10" x14ac:dyDescent="0.2">
      <c r="B114" s="74"/>
      <c r="C114" s="74"/>
      <c r="D114" s="74"/>
      <c r="E114" s="74"/>
      <c r="F114" s="74"/>
      <c r="G114" s="74"/>
      <c r="H114" s="74"/>
      <c r="I114" s="74"/>
      <c r="J114" s="74"/>
    </row>
    <row r="115" spans="2:10" x14ac:dyDescent="0.2">
      <c r="B115" s="74"/>
      <c r="C115" s="74"/>
      <c r="D115" s="74"/>
      <c r="E115" s="74"/>
      <c r="F115" s="74"/>
      <c r="G115" s="74"/>
      <c r="H115" s="74"/>
      <c r="I115" s="74"/>
      <c r="J115" s="74"/>
    </row>
    <row r="116" spans="2:10" x14ac:dyDescent="0.2">
      <c r="B116" s="74"/>
      <c r="C116" s="74"/>
      <c r="D116" s="74"/>
      <c r="E116" s="74"/>
      <c r="F116" s="74"/>
      <c r="G116" s="74"/>
      <c r="H116" s="74"/>
      <c r="I116" s="74"/>
      <c r="J116" s="74"/>
    </row>
    <row r="117" spans="2:10" x14ac:dyDescent="0.2"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2:10" x14ac:dyDescent="0.2">
      <c r="B118" s="74"/>
      <c r="C118" s="74"/>
      <c r="D118" s="74"/>
      <c r="E118" s="74"/>
      <c r="F118" s="74"/>
      <c r="G118" s="74"/>
      <c r="H118" s="74"/>
      <c r="I118" s="74"/>
      <c r="J118" s="74"/>
    </row>
    <row r="119" spans="2:10" x14ac:dyDescent="0.2"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2:10" x14ac:dyDescent="0.2">
      <c r="B120" s="74"/>
      <c r="C120" s="74"/>
      <c r="D120" s="74"/>
      <c r="E120" s="74"/>
      <c r="F120" s="74"/>
      <c r="G120" s="74"/>
      <c r="H120" s="74"/>
      <c r="I120" s="74"/>
      <c r="J120" s="74"/>
    </row>
    <row r="121" spans="2:10" x14ac:dyDescent="0.2"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2:10" x14ac:dyDescent="0.2"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2:10" x14ac:dyDescent="0.2">
      <c r="B123" s="74"/>
      <c r="C123" s="74"/>
      <c r="D123" s="74"/>
      <c r="E123" s="74"/>
      <c r="F123" s="74"/>
      <c r="G123" s="74"/>
      <c r="H123" s="74"/>
      <c r="I123" s="74"/>
      <c r="J123" s="74"/>
    </row>
    <row r="124" spans="2:10" x14ac:dyDescent="0.2"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2:10" x14ac:dyDescent="0.2"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2:10" x14ac:dyDescent="0.2"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2:10" x14ac:dyDescent="0.2">
      <c r="B127" s="74"/>
      <c r="C127" s="74"/>
      <c r="D127" s="74"/>
      <c r="E127" s="74"/>
      <c r="F127" s="74"/>
      <c r="G127" s="74"/>
      <c r="H127" s="74"/>
      <c r="I127" s="74"/>
      <c r="J127" s="74"/>
    </row>
    <row r="128" spans="2:10" x14ac:dyDescent="0.2">
      <c r="B128" s="74"/>
      <c r="C128" s="74"/>
      <c r="D128" s="74"/>
      <c r="E128" s="74"/>
      <c r="F128" s="74"/>
      <c r="G128" s="74"/>
      <c r="H128" s="74"/>
      <c r="I128" s="74"/>
      <c r="J128" s="74"/>
    </row>
    <row r="129" spans="2:10" x14ac:dyDescent="0.2"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2:10" x14ac:dyDescent="0.2"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2:10" x14ac:dyDescent="0.2"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2:10" x14ac:dyDescent="0.2"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2:10" x14ac:dyDescent="0.2">
      <c r="B133" s="74"/>
      <c r="C133" s="74"/>
      <c r="D133" s="74"/>
      <c r="E133" s="74"/>
      <c r="F133" s="74"/>
      <c r="G133" s="74"/>
      <c r="H133" s="74"/>
      <c r="I133" s="74"/>
      <c r="J133" s="74"/>
    </row>
    <row r="134" spans="2:10" x14ac:dyDescent="0.2"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2:10" x14ac:dyDescent="0.2"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2:10" x14ac:dyDescent="0.2"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2:10" x14ac:dyDescent="0.2"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2:10" x14ac:dyDescent="0.2"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2:10" x14ac:dyDescent="0.2"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2:10" x14ac:dyDescent="0.2"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2:10" x14ac:dyDescent="0.2"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2:10" x14ac:dyDescent="0.2"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2:10" x14ac:dyDescent="0.2"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2:10" x14ac:dyDescent="0.2"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2:10" x14ac:dyDescent="0.2"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2:10" x14ac:dyDescent="0.2"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2:10" x14ac:dyDescent="0.2"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2:10" x14ac:dyDescent="0.2"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2:10" x14ac:dyDescent="0.2"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2:10" x14ac:dyDescent="0.2"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2:10" x14ac:dyDescent="0.2"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2:10" x14ac:dyDescent="0.2"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2:10" x14ac:dyDescent="0.2">
      <c r="B153" s="74"/>
      <c r="C153" s="74"/>
      <c r="D153" s="74"/>
      <c r="E153" s="74"/>
      <c r="F153" s="74"/>
      <c r="G153" s="74"/>
      <c r="H153" s="74"/>
      <c r="I153" s="74"/>
      <c r="J153" s="74"/>
    </row>
    <row r="154" spans="2:10" x14ac:dyDescent="0.2">
      <c r="B154" s="74"/>
      <c r="C154" s="74"/>
      <c r="D154" s="74"/>
      <c r="E154" s="74"/>
      <c r="F154" s="74"/>
      <c r="G154" s="74"/>
      <c r="H154" s="74"/>
      <c r="I154" s="74"/>
      <c r="J154" s="74"/>
    </row>
    <row r="155" spans="2:10" x14ac:dyDescent="0.2">
      <c r="B155" s="74"/>
      <c r="C155" s="74"/>
      <c r="D155" s="74"/>
      <c r="E155" s="74"/>
      <c r="F155" s="74"/>
      <c r="G155" s="74"/>
      <c r="H155" s="74"/>
      <c r="I155" s="74"/>
      <c r="J155" s="74"/>
    </row>
    <row r="156" spans="2:10" x14ac:dyDescent="0.2">
      <c r="B156" s="74"/>
      <c r="C156" s="74"/>
      <c r="D156" s="74"/>
      <c r="E156" s="74"/>
      <c r="F156" s="74"/>
      <c r="G156" s="74"/>
      <c r="H156" s="74"/>
      <c r="I156" s="74"/>
      <c r="J156" s="74"/>
    </row>
    <row r="157" spans="2:10" x14ac:dyDescent="0.2">
      <c r="B157" s="74"/>
      <c r="C157" s="74"/>
      <c r="D157" s="74"/>
      <c r="E157" s="74"/>
      <c r="F157" s="74"/>
      <c r="G157" s="74"/>
      <c r="H157" s="74"/>
      <c r="I157" s="74"/>
      <c r="J157" s="74"/>
    </row>
    <row r="158" spans="2:10" x14ac:dyDescent="0.2"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2:10" x14ac:dyDescent="0.2"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2:10" x14ac:dyDescent="0.2">
      <c r="B160" s="74"/>
      <c r="C160" s="74"/>
      <c r="D160" s="74"/>
      <c r="E160" s="74"/>
      <c r="F160" s="74"/>
      <c r="G160" s="74"/>
      <c r="H160" s="74"/>
      <c r="I160" s="74"/>
      <c r="J160" s="74"/>
    </row>
    <row r="161" spans="2:10" x14ac:dyDescent="0.2">
      <c r="B161" s="74"/>
      <c r="C161" s="74"/>
      <c r="D161" s="74"/>
      <c r="E161" s="74"/>
      <c r="F161" s="74"/>
      <c r="G161" s="74"/>
      <c r="H161" s="74"/>
      <c r="I161" s="74"/>
      <c r="J161" s="74"/>
    </row>
    <row r="162" spans="2:10" x14ac:dyDescent="0.2">
      <c r="B162" s="74"/>
      <c r="C162" s="74"/>
      <c r="D162" s="74"/>
      <c r="E162" s="74"/>
      <c r="F162" s="74"/>
      <c r="G162" s="74"/>
      <c r="H162" s="74"/>
      <c r="I162" s="74"/>
      <c r="J162" s="74"/>
    </row>
    <row r="163" spans="2:10" x14ac:dyDescent="0.2">
      <c r="B163" s="74"/>
      <c r="C163" s="74"/>
      <c r="D163" s="74"/>
      <c r="E163" s="74"/>
      <c r="F163" s="74"/>
      <c r="G163" s="74"/>
      <c r="H163" s="74"/>
      <c r="I163" s="74"/>
      <c r="J163" s="74"/>
    </row>
    <row r="164" spans="2:10" x14ac:dyDescent="0.2">
      <c r="B164" s="74"/>
      <c r="C164" s="74"/>
      <c r="D164" s="74"/>
      <c r="E164" s="74"/>
      <c r="F164" s="74"/>
      <c r="G164" s="74"/>
      <c r="H164" s="74"/>
      <c r="I164" s="74"/>
      <c r="J164" s="74"/>
    </row>
    <row r="165" spans="2:10" x14ac:dyDescent="0.2">
      <c r="B165" s="74"/>
      <c r="C165" s="74"/>
      <c r="D165" s="74"/>
      <c r="E165" s="74"/>
      <c r="F165" s="74"/>
      <c r="G165" s="74"/>
      <c r="H165" s="74"/>
      <c r="I165" s="74"/>
      <c r="J165" s="74"/>
    </row>
    <row r="166" spans="2:10" x14ac:dyDescent="0.2">
      <c r="B166" s="74"/>
      <c r="C166" s="74"/>
      <c r="D166" s="74"/>
      <c r="E166" s="74"/>
      <c r="F166" s="74"/>
      <c r="G166" s="74"/>
      <c r="H166" s="74"/>
      <c r="I166" s="74"/>
      <c r="J166" s="74"/>
    </row>
    <row r="167" spans="2:10" x14ac:dyDescent="0.2">
      <c r="B167" s="74"/>
      <c r="C167" s="74"/>
      <c r="D167" s="74"/>
      <c r="E167" s="74"/>
      <c r="F167" s="74"/>
      <c r="G167" s="74"/>
      <c r="H167" s="74"/>
      <c r="I167" s="74"/>
      <c r="J167" s="74"/>
    </row>
    <row r="168" spans="2:10" x14ac:dyDescent="0.2">
      <c r="B168" s="74"/>
      <c r="C168" s="74"/>
      <c r="D168" s="74"/>
      <c r="E168" s="74"/>
      <c r="F168" s="74"/>
      <c r="G168" s="74"/>
      <c r="H168" s="74"/>
      <c r="I168" s="74"/>
      <c r="J168" s="74"/>
    </row>
    <row r="169" spans="2:10" x14ac:dyDescent="0.2">
      <c r="B169" s="74"/>
      <c r="C169" s="74"/>
      <c r="D169" s="74"/>
      <c r="E169" s="74"/>
      <c r="F169" s="74"/>
      <c r="G169" s="74"/>
      <c r="H169" s="74"/>
      <c r="I169" s="74"/>
      <c r="J169" s="74"/>
    </row>
    <row r="170" spans="2:10" x14ac:dyDescent="0.2">
      <c r="B170" s="74"/>
      <c r="C170" s="74"/>
      <c r="D170" s="74"/>
      <c r="E170" s="74"/>
      <c r="F170" s="74"/>
      <c r="G170" s="74"/>
      <c r="H170" s="74"/>
      <c r="I170" s="74"/>
      <c r="J170" s="74"/>
    </row>
    <row r="171" spans="2:10" x14ac:dyDescent="0.2">
      <c r="B171" s="74"/>
      <c r="C171" s="74"/>
      <c r="D171" s="74"/>
      <c r="E171" s="74"/>
      <c r="F171" s="74"/>
      <c r="G171" s="74"/>
      <c r="H171" s="74"/>
      <c r="I171" s="74"/>
      <c r="J171" s="74"/>
    </row>
    <row r="172" spans="2:10" x14ac:dyDescent="0.2">
      <c r="B172" s="74"/>
      <c r="C172" s="74"/>
      <c r="D172" s="74"/>
      <c r="E172" s="74"/>
      <c r="F172" s="74"/>
      <c r="G172" s="74"/>
      <c r="H172" s="74"/>
      <c r="I172" s="74"/>
      <c r="J172" s="74"/>
    </row>
    <row r="173" spans="2:10" x14ac:dyDescent="0.2">
      <c r="B173" s="74"/>
      <c r="C173" s="74"/>
      <c r="D173" s="74"/>
      <c r="E173" s="74"/>
      <c r="F173" s="74"/>
      <c r="G173" s="74"/>
      <c r="H173" s="74"/>
      <c r="I173" s="74"/>
      <c r="J173" s="74"/>
    </row>
    <row r="174" spans="2:10" x14ac:dyDescent="0.2"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2:10" x14ac:dyDescent="0.2">
      <c r="B175" s="74"/>
      <c r="C175" s="74"/>
      <c r="D175" s="74"/>
      <c r="E175" s="74"/>
      <c r="F175" s="74"/>
      <c r="G175" s="74"/>
      <c r="H175" s="74"/>
      <c r="I175" s="74"/>
      <c r="J175" s="74"/>
    </row>
    <row r="176" spans="2:10" x14ac:dyDescent="0.2">
      <c r="B176" s="74"/>
      <c r="C176" s="74"/>
      <c r="D176" s="74"/>
      <c r="E176" s="74"/>
      <c r="F176" s="74"/>
      <c r="G176" s="74"/>
      <c r="H176" s="74"/>
      <c r="I176" s="74"/>
      <c r="J176" s="74"/>
    </row>
    <row r="177" spans="2:10" x14ac:dyDescent="0.2">
      <c r="B177" s="74"/>
      <c r="C177" s="74"/>
      <c r="D177" s="74"/>
      <c r="E177" s="74"/>
      <c r="F177" s="74"/>
      <c r="G177" s="74"/>
      <c r="H177" s="74"/>
      <c r="I177" s="74"/>
      <c r="J177" s="74"/>
    </row>
    <row r="178" spans="2:10" x14ac:dyDescent="0.2">
      <c r="B178" s="74"/>
      <c r="C178" s="74"/>
      <c r="D178" s="74"/>
      <c r="E178" s="74"/>
      <c r="F178" s="74"/>
      <c r="G178" s="74"/>
      <c r="H178" s="74"/>
      <c r="I178" s="74"/>
      <c r="J178" s="74"/>
    </row>
    <row r="179" spans="2:10" x14ac:dyDescent="0.2">
      <c r="B179" s="74"/>
      <c r="C179" s="74"/>
      <c r="D179" s="74"/>
      <c r="E179" s="74"/>
      <c r="F179" s="74"/>
      <c r="G179" s="74"/>
      <c r="H179" s="74"/>
      <c r="I179" s="74"/>
      <c r="J179" s="74"/>
    </row>
    <row r="180" spans="2:10" x14ac:dyDescent="0.2">
      <c r="B180" s="74"/>
      <c r="C180" s="74"/>
      <c r="D180" s="74"/>
      <c r="E180" s="74"/>
      <c r="F180" s="74"/>
      <c r="G180" s="74"/>
      <c r="H180" s="74"/>
      <c r="I180" s="74"/>
      <c r="J180" s="74"/>
    </row>
    <row r="181" spans="2:10" x14ac:dyDescent="0.2">
      <c r="B181" s="74"/>
      <c r="C181" s="74"/>
      <c r="D181" s="74"/>
      <c r="E181" s="74"/>
      <c r="F181" s="74"/>
      <c r="G181" s="74"/>
      <c r="H181" s="74"/>
      <c r="I181" s="74"/>
      <c r="J181" s="74"/>
    </row>
    <row r="182" spans="2:10" x14ac:dyDescent="0.2">
      <c r="B182" s="74"/>
      <c r="C182" s="74"/>
      <c r="D182" s="74"/>
      <c r="E182" s="74"/>
      <c r="F182" s="74"/>
      <c r="G182" s="74"/>
      <c r="H182" s="74"/>
      <c r="I182" s="74"/>
      <c r="J182" s="74"/>
    </row>
    <row r="183" spans="2:10" x14ac:dyDescent="0.2">
      <c r="B183" s="74"/>
      <c r="C183" s="74"/>
      <c r="D183" s="74"/>
      <c r="E183" s="74"/>
      <c r="F183" s="74"/>
      <c r="G183" s="74"/>
      <c r="H183" s="74"/>
      <c r="I183" s="74"/>
      <c r="J183" s="74"/>
    </row>
    <row r="184" spans="2:10" x14ac:dyDescent="0.2">
      <c r="B184" s="74"/>
      <c r="C184" s="74"/>
      <c r="D184" s="74"/>
      <c r="E184" s="74"/>
      <c r="F184" s="74"/>
      <c r="G184" s="74"/>
      <c r="H184" s="74"/>
      <c r="I184" s="74"/>
      <c r="J184" s="74"/>
    </row>
    <row r="185" spans="2:10" x14ac:dyDescent="0.2">
      <c r="B185" s="74"/>
      <c r="C185" s="74"/>
      <c r="D185" s="74"/>
      <c r="E185" s="74"/>
      <c r="F185" s="74"/>
      <c r="G185" s="74"/>
      <c r="H185" s="74"/>
      <c r="I185" s="74"/>
      <c r="J185" s="74"/>
    </row>
    <row r="186" spans="2:10" x14ac:dyDescent="0.2">
      <c r="B186" s="74"/>
      <c r="C186" s="74"/>
      <c r="D186" s="74"/>
      <c r="E186" s="74"/>
      <c r="F186" s="74"/>
      <c r="G186" s="74"/>
      <c r="H186" s="74"/>
      <c r="I186" s="74"/>
      <c r="J186" s="74"/>
    </row>
    <row r="187" spans="2:10" x14ac:dyDescent="0.2">
      <c r="B187" s="74"/>
      <c r="C187" s="74"/>
      <c r="D187" s="74"/>
      <c r="E187" s="74"/>
      <c r="F187" s="74"/>
      <c r="G187" s="74"/>
      <c r="H187" s="74"/>
      <c r="I187" s="74"/>
      <c r="J187" s="74"/>
    </row>
    <row r="188" spans="2:10" x14ac:dyDescent="0.2">
      <c r="B188" s="74"/>
      <c r="C188" s="74"/>
      <c r="D188" s="74"/>
      <c r="E188" s="74"/>
      <c r="F188" s="74"/>
      <c r="G188" s="74"/>
      <c r="H188" s="74"/>
      <c r="I188" s="74"/>
      <c r="J188" s="74"/>
    </row>
    <row r="189" spans="2:10" x14ac:dyDescent="0.2"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2:10" x14ac:dyDescent="0.2">
      <c r="B190" s="74"/>
      <c r="C190" s="74"/>
      <c r="D190" s="74"/>
      <c r="E190" s="74"/>
      <c r="F190" s="74"/>
      <c r="G190" s="74"/>
      <c r="H190" s="74"/>
      <c r="I190" s="74"/>
      <c r="J190" s="74"/>
    </row>
    <row r="191" spans="2:10" x14ac:dyDescent="0.2">
      <c r="B191" s="74"/>
      <c r="C191" s="74"/>
      <c r="D191" s="74"/>
      <c r="E191" s="74"/>
      <c r="F191" s="74"/>
      <c r="G191" s="74"/>
      <c r="H191" s="74"/>
      <c r="I191" s="74"/>
      <c r="J191" s="74"/>
    </row>
    <row r="192" spans="2:10" x14ac:dyDescent="0.2">
      <c r="B192" s="74"/>
      <c r="C192" s="74"/>
      <c r="D192" s="74"/>
      <c r="E192" s="74"/>
      <c r="F192" s="74"/>
      <c r="G192" s="74"/>
      <c r="H192" s="74"/>
      <c r="I192" s="74"/>
      <c r="J192" s="74"/>
    </row>
    <row r="193" spans="2:10" x14ac:dyDescent="0.2"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2:10" x14ac:dyDescent="0.2">
      <c r="B194" s="74"/>
      <c r="C194" s="74"/>
      <c r="D194" s="74"/>
      <c r="E194" s="74"/>
      <c r="F194" s="74"/>
      <c r="G194" s="74"/>
      <c r="H194" s="74"/>
      <c r="I194" s="74"/>
      <c r="J194" s="74"/>
    </row>
    <row r="195" spans="2:10" x14ac:dyDescent="0.2">
      <c r="B195" s="74"/>
      <c r="C195" s="74"/>
      <c r="D195" s="74"/>
      <c r="E195" s="74"/>
      <c r="F195" s="74"/>
      <c r="G195" s="74"/>
      <c r="H195" s="74"/>
      <c r="I195" s="74"/>
      <c r="J195" s="74"/>
    </row>
    <row r="196" spans="2:10" x14ac:dyDescent="0.2">
      <c r="B196" s="74"/>
      <c r="C196" s="74"/>
      <c r="D196" s="74"/>
      <c r="E196" s="74"/>
      <c r="F196" s="74"/>
      <c r="G196" s="74"/>
      <c r="H196" s="74"/>
      <c r="I196" s="74"/>
      <c r="J196" s="74"/>
    </row>
    <row r="197" spans="2:10" x14ac:dyDescent="0.2">
      <c r="B197" s="74"/>
      <c r="C197" s="74"/>
      <c r="D197" s="74"/>
      <c r="E197" s="74"/>
      <c r="F197" s="74"/>
      <c r="G197" s="74"/>
      <c r="H197" s="74"/>
      <c r="I197" s="74"/>
      <c r="J197" s="74"/>
    </row>
    <row r="198" spans="2:10" x14ac:dyDescent="0.2">
      <c r="B198" s="74"/>
      <c r="C198" s="74"/>
      <c r="D198" s="74"/>
      <c r="E198" s="74"/>
      <c r="F198" s="74"/>
      <c r="G198" s="74"/>
      <c r="H198" s="74"/>
      <c r="I198" s="74"/>
      <c r="J198" s="74"/>
    </row>
    <row r="199" spans="2:10" x14ac:dyDescent="0.2">
      <c r="B199" s="74"/>
      <c r="C199" s="74"/>
      <c r="D199" s="74"/>
      <c r="E199" s="74"/>
      <c r="F199" s="74"/>
      <c r="G199" s="74"/>
      <c r="H199" s="74"/>
      <c r="I199" s="74"/>
      <c r="J199" s="74"/>
    </row>
    <row r="200" spans="2:10" x14ac:dyDescent="0.2">
      <c r="B200" s="74"/>
      <c r="C200" s="74"/>
      <c r="D200" s="74"/>
      <c r="E200" s="74"/>
      <c r="F200" s="74"/>
      <c r="G200" s="74"/>
      <c r="H200" s="74"/>
      <c r="I200" s="74"/>
      <c r="J200" s="74"/>
    </row>
    <row r="201" spans="2:10" x14ac:dyDescent="0.2">
      <c r="B201" s="74"/>
      <c r="C201" s="74"/>
      <c r="D201" s="74"/>
      <c r="E201" s="74"/>
      <c r="F201" s="74"/>
      <c r="G201" s="74"/>
      <c r="H201" s="74"/>
      <c r="I201" s="74"/>
      <c r="J201" s="74"/>
    </row>
    <row r="202" spans="2:10" x14ac:dyDescent="0.2">
      <c r="B202" s="74"/>
      <c r="C202" s="74"/>
      <c r="D202" s="74"/>
      <c r="E202" s="74"/>
      <c r="F202" s="74"/>
      <c r="G202" s="74"/>
      <c r="H202" s="74"/>
      <c r="I202" s="74"/>
      <c r="J202" s="74"/>
    </row>
    <row r="203" spans="2:10" x14ac:dyDescent="0.2">
      <c r="B203" s="74"/>
      <c r="C203" s="74"/>
      <c r="D203" s="74"/>
      <c r="E203" s="74"/>
      <c r="F203" s="74"/>
      <c r="G203" s="74"/>
      <c r="H203" s="74"/>
      <c r="I203" s="74"/>
      <c r="J203" s="74"/>
    </row>
    <row r="204" spans="2:10" x14ac:dyDescent="0.2">
      <c r="B204" s="74"/>
      <c r="C204" s="74"/>
      <c r="D204" s="74"/>
      <c r="E204" s="74"/>
      <c r="F204" s="74"/>
      <c r="G204" s="74"/>
      <c r="H204" s="74"/>
      <c r="I204" s="74"/>
      <c r="J204" s="74"/>
    </row>
    <row r="205" spans="2:10" x14ac:dyDescent="0.2">
      <c r="B205" s="74"/>
      <c r="C205" s="74"/>
      <c r="D205" s="74"/>
      <c r="E205" s="74"/>
      <c r="F205" s="74"/>
      <c r="G205" s="74"/>
      <c r="H205" s="74"/>
      <c r="I205" s="74"/>
      <c r="J205" s="74"/>
    </row>
    <row r="206" spans="2:10" x14ac:dyDescent="0.2">
      <c r="B206" s="74"/>
      <c r="C206" s="74"/>
      <c r="D206" s="74"/>
      <c r="E206" s="74"/>
      <c r="F206" s="74"/>
      <c r="G206" s="74"/>
      <c r="H206" s="74"/>
      <c r="I206" s="74"/>
      <c r="J206" s="74"/>
    </row>
    <row r="207" spans="2:10" x14ac:dyDescent="0.2">
      <c r="B207" s="74"/>
      <c r="C207" s="74"/>
      <c r="D207" s="74"/>
      <c r="E207" s="74"/>
      <c r="F207" s="74"/>
      <c r="G207" s="74"/>
      <c r="H207" s="74"/>
      <c r="I207" s="74"/>
      <c r="J207" s="74"/>
    </row>
    <row r="208" spans="2:10" x14ac:dyDescent="0.2">
      <c r="B208" s="74"/>
      <c r="C208" s="74"/>
      <c r="D208" s="74"/>
      <c r="E208" s="74"/>
      <c r="F208" s="74"/>
      <c r="G208" s="74"/>
      <c r="H208" s="74"/>
      <c r="I208" s="74"/>
      <c r="J208" s="74"/>
    </row>
    <row r="209" spans="2:10" x14ac:dyDescent="0.2">
      <c r="B209" s="74"/>
      <c r="C209" s="74"/>
      <c r="D209" s="74"/>
      <c r="E209" s="74"/>
      <c r="F209" s="74"/>
      <c r="G209" s="74"/>
      <c r="H209" s="74"/>
      <c r="I209" s="74"/>
      <c r="J209" s="74"/>
    </row>
    <row r="210" spans="2:10" x14ac:dyDescent="0.2"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2:10" x14ac:dyDescent="0.2">
      <c r="B211" s="74"/>
      <c r="C211" s="74"/>
      <c r="D211" s="74"/>
      <c r="E211" s="74"/>
      <c r="F211" s="74"/>
      <c r="G211" s="74"/>
      <c r="H211" s="74"/>
      <c r="I211" s="74"/>
      <c r="J211" s="74"/>
    </row>
    <row r="212" spans="2:10" x14ac:dyDescent="0.2">
      <c r="B212" s="74"/>
      <c r="C212" s="74"/>
      <c r="D212" s="74"/>
      <c r="E212" s="74"/>
      <c r="F212" s="74"/>
      <c r="G212" s="74"/>
      <c r="H212" s="74"/>
      <c r="I212" s="74"/>
      <c r="J212" s="74"/>
    </row>
    <row r="213" spans="2:10" x14ac:dyDescent="0.2">
      <c r="B213" s="74"/>
      <c r="C213" s="74"/>
      <c r="D213" s="74"/>
      <c r="E213" s="74"/>
      <c r="F213" s="74"/>
      <c r="G213" s="74"/>
      <c r="H213" s="74"/>
      <c r="I213" s="74"/>
      <c r="J213" s="74"/>
    </row>
    <row r="214" spans="2:10" x14ac:dyDescent="0.2">
      <c r="B214" s="74"/>
      <c r="C214" s="74"/>
      <c r="D214" s="74"/>
      <c r="E214" s="74"/>
      <c r="F214" s="74"/>
      <c r="G214" s="74"/>
      <c r="H214" s="74"/>
      <c r="I214" s="74"/>
      <c r="J214" s="74"/>
    </row>
    <row r="215" spans="2:10" x14ac:dyDescent="0.2">
      <c r="B215" s="74"/>
      <c r="C215" s="74"/>
      <c r="D215" s="74"/>
      <c r="E215" s="74"/>
      <c r="F215" s="74"/>
      <c r="G215" s="74"/>
      <c r="H215" s="74"/>
      <c r="I215" s="74"/>
      <c r="J215" s="74"/>
    </row>
    <row r="216" spans="2:10" x14ac:dyDescent="0.2">
      <c r="B216" s="74"/>
      <c r="C216" s="74"/>
      <c r="D216" s="74"/>
      <c r="E216" s="74"/>
      <c r="F216" s="74"/>
      <c r="G216" s="74"/>
      <c r="H216" s="74"/>
      <c r="I216" s="74"/>
      <c r="J216" s="74"/>
    </row>
    <row r="217" spans="2:10" x14ac:dyDescent="0.2">
      <c r="B217" s="74"/>
      <c r="C217" s="74"/>
      <c r="D217" s="74"/>
      <c r="E217" s="74"/>
      <c r="F217" s="74"/>
      <c r="G217" s="74"/>
      <c r="H217" s="74"/>
      <c r="I217" s="74"/>
      <c r="J217" s="74"/>
    </row>
    <row r="218" spans="2:10" x14ac:dyDescent="0.2">
      <c r="B218" s="74"/>
      <c r="C218" s="74"/>
      <c r="D218" s="74"/>
      <c r="E218" s="74"/>
      <c r="F218" s="74"/>
      <c r="G218" s="74"/>
      <c r="H218" s="74"/>
      <c r="I218" s="74"/>
      <c r="J218" s="74"/>
    </row>
    <row r="219" spans="2:10" x14ac:dyDescent="0.2">
      <c r="B219" s="74"/>
      <c r="C219" s="74"/>
      <c r="D219" s="74"/>
      <c r="E219" s="74"/>
      <c r="F219" s="74"/>
      <c r="G219" s="74"/>
      <c r="H219" s="74"/>
      <c r="I219" s="74"/>
      <c r="J219" s="74"/>
    </row>
    <row r="220" spans="2:10" x14ac:dyDescent="0.2">
      <c r="B220" s="74"/>
      <c r="C220" s="74"/>
      <c r="D220" s="74"/>
      <c r="E220" s="74"/>
      <c r="F220" s="74"/>
      <c r="G220" s="74"/>
      <c r="H220" s="74"/>
      <c r="I220" s="74"/>
      <c r="J220" s="74"/>
    </row>
    <row r="221" spans="2:10" x14ac:dyDescent="0.2">
      <c r="B221" s="74"/>
      <c r="C221" s="74"/>
      <c r="D221" s="74"/>
      <c r="E221" s="74"/>
      <c r="F221" s="74"/>
      <c r="G221" s="74"/>
      <c r="H221" s="74"/>
      <c r="I221" s="74"/>
      <c r="J221" s="74"/>
    </row>
    <row r="222" spans="2:10" x14ac:dyDescent="0.2">
      <c r="B222" s="74"/>
      <c r="C222" s="74"/>
      <c r="D222" s="74"/>
      <c r="E222" s="74"/>
      <c r="F222" s="74"/>
      <c r="G222" s="74"/>
      <c r="H222" s="74"/>
      <c r="I222" s="74"/>
      <c r="J222" s="74"/>
    </row>
    <row r="223" spans="2:10" x14ac:dyDescent="0.2">
      <c r="B223" s="74"/>
      <c r="C223" s="74"/>
      <c r="D223" s="74"/>
      <c r="E223" s="74"/>
      <c r="F223" s="74"/>
      <c r="G223" s="74"/>
      <c r="H223" s="74"/>
      <c r="I223" s="74"/>
      <c r="J223" s="74"/>
    </row>
    <row r="224" spans="2:10" x14ac:dyDescent="0.2">
      <c r="B224" s="74"/>
      <c r="C224" s="74"/>
      <c r="D224" s="74"/>
      <c r="E224" s="74"/>
      <c r="F224" s="74"/>
      <c r="G224" s="74"/>
      <c r="H224" s="74"/>
      <c r="I224" s="74"/>
      <c r="J224" s="74"/>
    </row>
    <row r="225" spans="2:10" x14ac:dyDescent="0.2">
      <c r="B225" s="74"/>
      <c r="C225" s="74"/>
      <c r="D225" s="74"/>
      <c r="E225" s="74"/>
      <c r="F225" s="74"/>
      <c r="G225" s="74"/>
      <c r="H225" s="74"/>
      <c r="I225" s="74"/>
      <c r="J225" s="74"/>
    </row>
    <row r="226" spans="2:10" x14ac:dyDescent="0.2">
      <c r="B226" s="74"/>
      <c r="C226" s="74"/>
      <c r="D226" s="74"/>
      <c r="E226" s="74"/>
      <c r="F226" s="74"/>
      <c r="G226" s="74"/>
      <c r="H226" s="74"/>
      <c r="I226" s="74"/>
      <c r="J226" s="74"/>
    </row>
    <row r="227" spans="2:10" x14ac:dyDescent="0.2">
      <c r="B227" s="74"/>
      <c r="C227" s="74"/>
      <c r="D227" s="74"/>
      <c r="E227" s="74"/>
      <c r="F227" s="74"/>
      <c r="G227" s="74"/>
      <c r="H227" s="74"/>
      <c r="I227" s="74"/>
      <c r="J227" s="74"/>
    </row>
    <row r="228" spans="2:10" x14ac:dyDescent="0.2">
      <c r="B228" s="74"/>
      <c r="C228" s="74"/>
      <c r="D228" s="74"/>
      <c r="E228" s="74"/>
      <c r="F228" s="74"/>
      <c r="G228" s="74"/>
      <c r="H228" s="74"/>
      <c r="I228" s="74"/>
      <c r="J228" s="74"/>
    </row>
    <row r="229" spans="2:10" x14ac:dyDescent="0.2">
      <c r="B229" s="74"/>
      <c r="C229" s="74"/>
      <c r="D229" s="74"/>
      <c r="E229" s="74"/>
      <c r="F229" s="74"/>
      <c r="G229" s="74"/>
      <c r="H229" s="74"/>
      <c r="I229" s="74"/>
      <c r="J229" s="74"/>
    </row>
    <row r="230" spans="2:10" x14ac:dyDescent="0.2">
      <c r="B230" s="74"/>
      <c r="C230" s="74"/>
      <c r="D230" s="74"/>
      <c r="E230" s="74"/>
      <c r="F230" s="74"/>
      <c r="G230" s="74"/>
      <c r="H230" s="74"/>
      <c r="I230" s="74"/>
      <c r="J230" s="74"/>
    </row>
    <row r="231" spans="2:10" x14ac:dyDescent="0.2">
      <c r="B231" s="74"/>
      <c r="C231" s="74"/>
      <c r="D231" s="74"/>
      <c r="E231" s="74"/>
      <c r="F231" s="74"/>
      <c r="G231" s="74"/>
      <c r="H231" s="74"/>
      <c r="I231" s="74"/>
      <c r="J231" s="74"/>
    </row>
    <row r="232" spans="2:10" x14ac:dyDescent="0.2">
      <c r="B232" s="74"/>
      <c r="C232" s="74"/>
      <c r="D232" s="74"/>
      <c r="E232" s="74"/>
      <c r="F232" s="74"/>
      <c r="G232" s="74"/>
      <c r="H232" s="74"/>
      <c r="I232" s="74"/>
      <c r="J232" s="74"/>
    </row>
    <row r="233" spans="2:10" x14ac:dyDescent="0.2">
      <c r="B233" s="74"/>
      <c r="C233" s="74"/>
      <c r="D233" s="74"/>
      <c r="E233" s="74"/>
      <c r="F233" s="74"/>
      <c r="G233" s="74"/>
      <c r="H233" s="74"/>
      <c r="I233" s="74"/>
      <c r="J233" s="74"/>
    </row>
    <row r="234" spans="2:10" x14ac:dyDescent="0.2">
      <c r="B234" s="74"/>
      <c r="C234" s="74"/>
      <c r="D234" s="74"/>
      <c r="E234" s="74"/>
      <c r="F234" s="74"/>
      <c r="G234" s="74"/>
      <c r="H234" s="74"/>
      <c r="I234" s="74"/>
      <c r="J234" s="74"/>
    </row>
    <row r="235" spans="2:10" x14ac:dyDescent="0.2">
      <c r="B235" s="74"/>
      <c r="C235" s="74"/>
      <c r="D235" s="74"/>
      <c r="E235" s="74"/>
      <c r="F235" s="74"/>
      <c r="G235" s="74"/>
      <c r="H235" s="74"/>
      <c r="I235" s="74"/>
      <c r="J235" s="74"/>
    </row>
    <row r="236" spans="2:10" x14ac:dyDescent="0.2">
      <c r="B236" s="74"/>
      <c r="C236" s="74"/>
      <c r="D236" s="74"/>
      <c r="E236" s="74"/>
      <c r="F236" s="74"/>
      <c r="G236" s="74"/>
      <c r="H236" s="74"/>
      <c r="I236" s="74"/>
      <c r="J236" s="74"/>
    </row>
    <row r="237" spans="2:10" x14ac:dyDescent="0.2">
      <c r="B237" s="74"/>
      <c r="C237" s="74"/>
      <c r="D237" s="74"/>
      <c r="E237" s="74"/>
      <c r="F237" s="74"/>
      <c r="G237" s="74"/>
      <c r="H237" s="74"/>
      <c r="I237" s="74"/>
      <c r="J237" s="74"/>
    </row>
    <row r="238" spans="2:10" x14ac:dyDescent="0.2">
      <c r="B238" s="74"/>
      <c r="C238" s="74"/>
      <c r="D238" s="74"/>
      <c r="E238" s="74"/>
      <c r="F238" s="74"/>
      <c r="G238" s="74"/>
      <c r="H238" s="74"/>
      <c r="I238" s="74"/>
      <c r="J238" s="74"/>
    </row>
    <row r="239" spans="2:10" x14ac:dyDescent="0.2">
      <c r="B239" s="74"/>
      <c r="C239" s="74"/>
      <c r="D239" s="74"/>
      <c r="E239" s="74"/>
      <c r="F239" s="74"/>
      <c r="G239" s="74"/>
      <c r="H239" s="74"/>
      <c r="I239" s="74"/>
      <c r="J239" s="74"/>
    </row>
    <row r="240" spans="2:10" x14ac:dyDescent="0.2">
      <c r="B240" s="74"/>
      <c r="C240" s="74"/>
      <c r="D240" s="74"/>
      <c r="E240" s="74"/>
      <c r="F240" s="74"/>
      <c r="G240" s="74"/>
      <c r="H240" s="74"/>
      <c r="I240" s="74"/>
      <c r="J240" s="74"/>
    </row>
    <row r="241" spans="2:10" x14ac:dyDescent="0.2">
      <c r="B241" s="74"/>
      <c r="C241" s="74"/>
      <c r="D241" s="74"/>
      <c r="E241" s="74"/>
      <c r="F241" s="74"/>
      <c r="G241" s="74"/>
      <c r="H241" s="74"/>
      <c r="I241" s="74"/>
      <c r="J241" s="74"/>
    </row>
    <row r="242" spans="2:10" x14ac:dyDescent="0.2">
      <c r="B242" s="74"/>
      <c r="C242" s="74"/>
      <c r="D242" s="74"/>
      <c r="E242" s="74"/>
      <c r="F242" s="74"/>
      <c r="G242" s="74"/>
      <c r="H242" s="74"/>
      <c r="I242" s="74"/>
      <c r="J242" s="74"/>
    </row>
    <row r="243" spans="2:10" x14ac:dyDescent="0.2">
      <c r="B243" s="74"/>
      <c r="C243" s="74"/>
      <c r="D243" s="74"/>
      <c r="E243" s="74"/>
      <c r="F243" s="74"/>
      <c r="G243" s="74"/>
      <c r="H243" s="74"/>
      <c r="I243" s="74"/>
      <c r="J243" s="74"/>
    </row>
    <row r="244" spans="2:10" x14ac:dyDescent="0.2">
      <c r="B244" s="74"/>
      <c r="C244" s="74"/>
      <c r="D244" s="74"/>
      <c r="E244" s="74"/>
      <c r="F244" s="74"/>
      <c r="G244" s="74"/>
      <c r="H244" s="74"/>
      <c r="I244" s="74"/>
      <c r="J244" s="74"/>
    </row>
    <row r="245" spans="2:10" x14ac:dyDescent="0.2">
      <c r="B245" s="74"/>
      <c r="C245" s="74"/>
      <c r="D245" s="74"/>
      <c r="E245" s="74"/>
      <c r="F245" s="74"/>
      <c r="G245" s="74"/>
      <c r="H245" s="74"/>
      <c r="I245" s="74"/>
      <c r="J245" s="74"/>
    </row>
    <row r="246" spans="2:10" x14ac:dyDescent="0.2">
      <c r="B246" s="74"/>
      <c r="C246" s="74"/>
      <c r="D246" s="74"/>
      <c r="E246" s="74"/>
      <c r="F246" s="74"/>
      <c r="G246" s="74"/>
      <c r="H246" s="74"/>
      <c r="I246" s="74"/>
      <c r="J246" s="74"/>
    </row>
    <row r="247" spans="2:10" x14ac:dyDescent="0.2">
      <c r="B247" s="74"/>
      <c r="C247" s="74"/>
      <c r="D247" s="74"/>
      <c r="E247" s="74"/>
      <c r="F247" s="74"/>
      <c r="G247" s="74"/>
      <c r="H247" s="74"/>
      <c r="I247" s="74"/>
      <c r="J247" s="74"/>
    </row>
    <row r="248" spans="2:10" x14ac:dyDescent="0.2">
      <c r="B248" s="74"/>
      <c r="C248" s="74"/>
      <c r="D248" s="74"/>
      <c r="E248" s="74"/>
      <c r="F248" s="74"/>
      <c r="G248" s="74"/>
      <c r="H248" s="74"/>
      <c r="I248" s="74"/>
      <c r="J248" s="74"/>
    </row>
    <row r="249" spans="2:10" x14ac:dyDescent="0.2">
      <c r="B249" s="74"/>
      <c r="C249" s="74"/>
      <c r="D249" s="74"/>
      <c r="E249" s="74"/>
      <c r="F249" s="74"/>
      <c r="G249" s="74"/>
      <c r="H249" s="74"/>
      <c r="I249" s="74"/>
      <c r="J249" s="74"/>
    </row>
    <row r="250" spans="2:10" x14ac:dyDescent="0.2">
      <c r="B250" s="74"/>
      <c r="C250" s="74"/>
      <c r="D250" s="74"/>
      <c r="E250" s="74"/>
      <c r="F250" s="74"/>
      <c r="G250" s="74"/>
      <c r="H250" s="74"/>
      <c r="I250" s="74"/>
      <c r="J250" s="74"/>
    </row>
    <row r="251" spans="2:10" x14ac:dyDescent="0.2">
      <c r="B251" s="74"/>
      <c r="C251" s="74"/>
      <c r="D251" s="74"/>
      <c r="E251" s="74"/>
      <c r="F251" s="74"/>
      <c r="G251" s="74"/>
      <c r="H251" s="74"/>
      <c r="I251" s="74"/>
      <c r="J251" s="74"/>
    </row>
    <row r="252" spans="2:10" x14ac:dyDescent="0.2">
      <c r="B252" s="74"/>
      <c r="C252" s="74"/>
      <c r="D252" s="74"/>
      <c r="E252" s="74"/>
      <c r="F252" s="74"/>
      <c r="G252" s="74"/>
      <c r="H252" s="74"/>
      <c r="I252" s="74"/>
      <c r="J252" s="74"/>
    </row>
    <row r="253" spans="2:10" x14ac:dyDescent="0.2">
      <c r="B253" s="74"/>
      <c r="C253" s="74"/>
      <c r="D253" s="74"/>
      <c r="E253" s="74"/>
      <c r="F253" s="74"/>
      <c r="G253" s="74"/>
      <c r="H253" s="74"/>
      <c r="I253" s="74"/>
      <c r="J253" s="74"/>
    </row>
    <row r="254" spans="2:10" x14ac:dyDescent="0.2">
      <c r="B254" s="74"/>
      <c r="C254" s="74"/>
      <c r="D254" s="74"/>
      <c r="E254" s="74"/>
      <c r="F254" s="74"/>
      <c r="G254" s="74"/>
      <c r="H254" s="74"/>
      <c r="I254" s="74"/>
      <c r="J254" s="74"/>
    </row>
    <row r="255" spans="2:10" x14ac:dyDescent="0.2">
      <c r="B255" s="74"/>
      <c r="C255" s="74"/>
      <c r="D255" s="74"/>
      <c r="E255" s="74"/>
      <c r="F255" s="74"/>
      <c r="G255" s="74"/>
      <c r="H255" s="74"/>
      <c r="I255" s="74"/>
      <c r="J255" s="74"/>
    </row>
    <row r="256" spans="2:10" x14ac:dyDescent="0.2">
      <c r="B256" s="74"/>
      <c r="C256" s="74"/>
      <c r="D256" s="74"/>
      <c r="E256" s="74"/>
      <c r="F256" s="74"/>
      <c r="G256" s="74"/>
      <c r="H256" s="74"/>
      <c r="I256" s="74"/>
      <c r="J256" s="74"/>
    </row>
    <row r="257" spans="2:10" x14ac:dyDescent="0.2">
      <c r="B257" s="74"/>
      <c r="C257" s="74"/>
      <c r="D257" s="74"/>
      <c r="E257" s="74"/>
      <c r="F257" s="74"/>
      <c r="G257" s="74"/>
      <c r="H257" s="74"/>
      <c r="I257" s="74"/>
      <c r="J257" s="74"/>
    </row>
    <row r="258" spans="2:10" x14ac:dyDescent="0.2">
      <c r="B258" s="74"/>
      <c r="C258" s="74"/>
      <c r="D258" s="74"/>
      <c r="E258" s="74"/>
      <c r="F258" s="74"/>
      <c r="G258" s="74"/>
      <c r="H258" s="74"/>
      <c r="I258" s="74"/>
      <c r="J258" s="74"/>
    </row>
    <row r="259" spans="2:10" x14ac:dyDescent="0.2">
      <c r="B259" s="74"/>
      <c r="C259" s="74"/>
      <c r="D259" s="74"/>
      <c r="E259" s="74"/>
      <c r="F259" s="74"/>
      <c r="G259" s="74"/>
      <c r="H259" s="74"/>
      <c r="I259" s="74"/>
      <c r="J259" s="74"/>
    </row>
    <row r="260" spans="2:10" x14ac:dyDescent="0.2">
      <c r="B260" s="74"/>
      <c r="C260" s="74"/>
      <c r="D260" s="74"/>
      <c r="E260" s="74"/>
      <c r="F260" s="74"/>
      <c r="G260" s="74"/>
      <c r="H260" s="74"/>
      <c r="I260" s="74"/>
      <c r="J260" s="74"/>
    </row>
    <row r="261" spans="2:10" x14ac:dyDescent="0.2">
      <c r="B261" s="74"/>
      <c r="C261" s="74"/>
      <c r="D261" s="74"/>
      <c r="E261" s="74"/>
      <c r="F261" s="74"/>
      <c r="G261" s="74"/>
      <c r="H261" s="74"/>
      <c r="I261" s="74"/>
      <c r="J261" s="74"/>
    </row>
    <row r="262" spans="2:10" x14ac:dyDescent="0.2">
      <c r="B262" s="74"/>
      <c r="C262" s="74"/>
      <c r="D262" s="74"/>
      <c r="E262" s="74"/>
      <c r="F262" s="74"/>
      <c r="G262" s="74"/>
      <c r="H262" s="74"/>
      <c r="I262" s="74"/>
      <c r="J262" s="74"/>
    </row>
    <row r="263" spans="2:10" x14ac:dyDescent="0.2">
      <c r="B263" s="74"/>
      <c r="C263" s="74"/>
      <c r="D263" s="74"/>
      <c r="E263" s="74"/>
      <c r="F263" s="74"/>
      <c r="G263" s="74"/>
      <c r="H263" s="74"/>
      <c r="I263" s="74"/>
      <c r="J263" s="74"/>
    </row>
    <row r="264" spans="2:10" x14ac:dyDescent="0.2">
      <c r="B264" s="74"/>
      <c r="C264" s="74"/>
      <c r="D264" s="74"/>
      <c r="E264" s="74"/>
      <c r="F264" s="74"/>
      <c r="G264" s="74"/>
      <c r="H264" s="74"/>
      <c r="I264" s="74"/>
      <c r="J264" s="74"/>
    </row>
    <row r="265" spans="2:10" x14ac:dyDescent="0.2">
      <c r="B265" s="74"/>
      <c r="C265" s="74"/>
      <c r="D265" s="74"/>
      <c r="E265" s="74"/>
      <c r="F265" s="74"/>
      <c r="G265" s="74"/>
      <c r="H265" s="74"/>
      <c r="I265" s="74"/>
      <c r="J265" s="74"/>
    </row>
    <row r="266" spans="2:10" x14ac:dyDescent="0.2">
      <c r="B266" s="74"/>
      <c r="C266" s="74"/>
      <c r="D266" s="74"/>
      <c r="E266" s="74"/>
      <c r="F266" s="74"/>
      <c r="G266" s="74"/>
      <c r="H266" s="74"/>
      <c r="I266" s="74"/>
      <c r="J266" s="74"/>
    </row>
    <row r="267" spans="2:10" x14ac:dyDescent="0.2">
      <c r="B267" s="74"/>
      <c r="C267" s="74"/>
      <c r="D267" s="74"/>
      <c r="E267" s="74"/>
      <c r="F267" s="74"/>
      <c r="G267" s="74"/>
      <c r="H267" s="74"/>
      <c r="I267" s="74"/>
      <c r="J267" s="74"/>
    </row>
    <row r="268" spans="2:10" x14ac:dyDescent="0.2">
      <c r="B268" s="74"/>
      <c r="C268" s="74"/>
      <c r="D268" s="74"/>
      <c r="E268" s="74"/>
      <c r="F268" s="74"/>
      <c r="G268" s="74"/>
      <c r="H268" s="74"/>
      <c r="I268" s="74"/>
      <c r="J268" s="74"/>
    </row>
    <row r="269" spans="2:10" x14ac:dyDescent="0.2">
      <c r="B269" s="74"/>
      <c r="C269" s="74"/>
      <c r="D269" s="74"/>
      <c r="E269" s="74"/>
      <c r="F269" s="74"/>
      <c r="G269" s="74"/>
      <c r="H269" s="74"/>
      <c r="I269" s="74"/>
      <c r="J269" s="74"/>
    </row>
    <row r="270" spans="2:10" x14ac:dyDescent="0.2">
      <c r="B270" s="74"/>
      <c r="C270" s="74"/>
      <c r="D270" s="74"/>
      <c r="E270" s="74"/>
      <c r="F270" s="74"/>
      <c r="G270" s="74"/>
      <c r="H270" s="74"/>
      <c r="I270" s="74"/>
      <c r="J270" s="74"/>
    </row>
    <row r="271" spans="2:10" x14ac:dyDescent="0.2">
      <c r="B271" s="74"/>
      <c r="C271" s="74"/>
      <c r="D271" s="74"/>
      <c r="E271" s="74"/>
      <c r="F271" s="74"/>
      <c r="G271" s="74"/>
      <c r="H271" s="74"/>
      <c r="I271" s="74"/>
      <c r="J271" s="74"/>
    </row>
    <row r="272" spans="2:10" x14ac:dyDescent="0.2">
      <c r="B272" s="74"/>
      <c r="C272" s="74"/>
      <c r="D272" s="74"/>
      <c r="E272" s="74"/>
      <c r="F272" s="74"/>
      <c r="G272" s="74"/>
      <c r="H272" s="74"/>
      <c r="I272" s="74"/>
      <c r="J272" s="74"/>
    </row>
    <row r="273" spans="2:10" x14ac:dyDescent="0.2">
      <c r="B273" s="74"/>
      <c r="C273" s="74"/>
      <c r="D273" s="74"/>
      <c r="E273" s="74"/>
      <c r="F273" s="74"/>
      <c r="G273" s="74"/>
      <c r="H273" s="74"/>
      <c r="I273" s="74"/>
      <c r="J273" s="74"/>
    </row>
    <row r="274" spans="2:10" x14ac:dyDescent="0.2">
      <c r="B274" s="74"/>
      <c r="C274" s="74"/>
      <c r="D274" s="74"/>
      <c r="E274" s="74"/>
      <c r="F274" s="74"/>
      <c r="G274" s="74"/>
      <c r="H274" s="74"/>
      <c r="I274" s="74"/>
      <c r="J274" s="74"/>
    </row>
    <row r="275" spans="2:10" x14ac:dyDescent="0.2">
      <c r="B275" s="74"/>
      <c r="C275" s="74"/>
      <c r="D275" s="74"/>
      <c r="E275" s="74"/>
      <c r="F275" s="74"/>
      <c r="G275" s="74"/>
      <c r="H275" s="74"/>
      <c r="I275" s="74"/>
      <c r="J275" s="74"/>
    </row>
    <row r="276" spans="2:10" x14ac:dyDescent="0.2">
      <c r="B276" s="74"/>
      <c r="C276" s="74"/>
      <c r="D276" s="74"/>
      <c r="E276" s="74"/>
      <c r="F276" s="74"/>
      <c r="G276" s="74"/>
      <c r="H276" s="74"/>
      <c r="I276" s="74"/>
      <c r="J276" s="74"/>
    </row>
    <row r="277" spans="2:10" x14ac:dyDescent="0.2">
      <c r="B277" s="74"/>
      <c r="C277" s="74"/>
      <c r="D277" s="74"/>
      <c r="E277" s="74"/>
      <c r="F277" s="74"/>
      <c r="G277" s="74"/>
      <c r="H277" s="74"/>
      <c r="I277" s="74"/>
      <c r="J277" s="74"/>
    </row>
    <row r="278" spans="2:10" x14ac:dyDescent="0.2">
      <c r="B278" s="74"/>
      <c r="C278" s="74"/>
      <c r="D278" s="74"/>
      <c r="E278" s="74"/>
      <c r="F278" s="74"/>
      <c r="G278" s="74"/>
      <c r="H278" s="74"/>
      <c r="I278" s="74"/>
      <c r="J278" s="74"/>
    </row>
    <row r="279" spans="2:10" x14ac:dyDescent="0.2">
      <c r="B279" s="74"/>
      <c r="C279" s="74"/>
      <c r="D279" s="74"/>
      <c r="E279" s="74"/>
      <c r="F279" s="74"/>
      <c r="G279" s="74"/>
      <c r="H279" s="74"/>
      <c r="I279" s="74"/>
      <c r="J279" s="74"/>
    </row>
    <row r="280" spans="2:10" x14ac:dyDescent="0.2">
      <c r="B280" s="74"/>
      <c r="C280" s="74"/>
      <c r="D280" s="74"/>
      <c r="E280" s="74"/>
      <c r="F280" s="74"/>
      <c r="G280" s="74"/>
      <c r="H280" s="74"/>
      <c r="I280" s="74"/>
      <c r="J280" s="74"/>
    </row>
    <row r="281" spans="2:10" x14ac:dyDescent="0.2">
      <c r="B281" s="74"/>
      <c r="C281" s="74"/>
      <c r="D281" s="74"/>
      <c r="E281" s="74"/>
      <c r="F281" s="74"/>
      <c r="G281" s="74"/>
      <c r="H281" s="74"/>
      <c r="I281" s="74"/>
      <c r="J281" s="74"/>
    </row>
    <row r="282" spans="2:10" x14ac:dyDescent="0.2">
      <c r="B282" s="74"/>
      <c r="C282" s="74"/>
      <c r="D282" s="74"/>
      <c r="E282" s="74"/>
      <c r="F282" s="74"/>
      <c r="G282" s="74"/>
      <c r="H282" s="74"/>
      <c r="I282" s="74"/>
      <c r="J282" s="74"/>
    </row>
    <row r="283" spans="2:10" x14ac:dyDescent="0.2">
      <c r="B283" s="74"/>
      <c r="C283" s="74"/>
      <c r="D283" s="74"/>
      <c r="E283" s="74"/>
      <c r="F283" s="74"/>
      <c r="G283" s="74"/>
      <c r="H283" s="74"/>
      <c r="I283" s="74"/>
      <c r="J283" s="74"/>
    </row>
    <row r="284" spans="2:10" x14ac:dyDescent="0.2">
      <c r="B284" s="74"/>
      <c r="C284" s="74"/>
      <c r="D284" s="74"/>
      <c r="E284" s="74"/>
      <c r="F284" s="74"/>
      <c r="G284" s="74"/>
      <c r="H284" s="74"/>
      <c r="I284" s="74"/>
      <c r="J284" s="74"/>
    </row>
    <row r="285" spans="2:10" x14ac:dyDescent="0.2">
      <c r="B285" s="74"/>
      <c r="C285" s="74"/>
      <c r="D285" s="74"/>
      <c r="E285" s="74"/>
      <c r="F285" s="74"/>
      <c r="G285" s="74"/>
      <c r="H285" s="74"/>
      <c r="I285" s="74"/>
      <c r="J285" s="74"/>
    </row>
    <row r="286" spans="2:10" x14ac:dyDescent="0.2">
      <c r="B286" s="74"/>
      <c r="C286" s="74"/>
      <c r="D286" s="74"/>
      <c r="E286" s="74"/>
      <c r="F286" s="74"/>
      <c r="G286" s="74"/>
      <c r="H286" s="74"/>
      <c r="I286" s="74"/>
      <c r="J286" s="74"/>
    </row>
    <row r="287" spans="2:10" x14ac:dyDescent="0.2">
      <c r="B287" s="74"/>
      <c r="C287" s="74"/>
      <c r="D287" s="74"/>
      <c r="E287" s="74"/>
      <c r="F287" s="74"/>
      <c r="G287" s="74"/>
      <c r="H287" s="74"/>
      <c r="I287" s="74"/>
      <c r="J287" s="74"/>
    </row>
    <row r="288" spans="2:10" x14ac:dyDescent="0.2">
      <c r="B288" s="74"/>
      <c r="C288" s="74"/>
      <c r="D288" s="74"/>
      <c r="E288" s="74"/>
      <c r="F288" s="74"/>
      <c r="G288" s="74"/>
      <c r="H288" s="74"/>
      <c r="I288" s="74"/>
      <c r="J288" s="74"/>
    </row>
    <row r="289" spans="2:10" x14ac:dyDescent="0.2">
      <c r="B289" s="74"/>
      <c r="C289" s="74"/>
      <c r="D289" s="74"/>
      <c r="E289" s="74"/>
      <c r="F289" s="74"/>
      <c r="G289" s="74"/>
      <c r="H289" s="74"/>
      <c r="I289" s="74"/>
      <c r="J289" s="74"/>
    </row>
    <row r="290" spans="2:10" x14ac:dyDescent="0.2">
      <c r="B290" s="74"/>
      <c r="C290" s="74"/>
      <c r="D290" s="74"/>
      <c r="E290" s="74"/>
      <c r="F290" s="74"/>
      <c r="G290" s="74"/>
      <c r="H290" s="74"/>
      <c r="I290" s="74"/>
      <c r="J290" s="74"/>
    </row>
    <row r="291" spans="2:10" x14ac:dyDescent="0.2">
      <c r="B291" s="74"/>
      <c r="C291" s="74"/>
      <c r="D291" s="74"/>
      <c r="E291" s="74"/>
      <c r="F291" s="74"/>
      <c r="G291" s="74"/>
      <c r="H291" s="74"/>
      <c r="I291" s="74"/>
      <c r="J291" s="74"/>
    </row>
    <row r="292" spans="2:10" x14ac:dyDescent="0.2">
      <c r="B292" s="74"/>
      <c r="C292" s="74"/>
      <c r="D292" s="74"/>
      <c r="E292" s="74"/>
      <c r="F292" s="74"/>
      <c r="G292" s="74"/>
      <c r="H292" s="74"/>
      <c r="I292" s="74"/>
      <c r="J292" s="74"/>
    </row>
    <row r="293" spans="2:10" x14ac:dyDescent="0.2">
      <c r="B293" s="74"/>
      <c r="C293" s="74"/>
      <c r="D293" s="74"/>
      <c r="E293" s="74"/>
      <c r="F293" s="74"/>
      <c r="G293" s="74"/>
      <c r="H293" s="74"/>
      <c r="I293" s="74"/>
      <c r="J293" s="74"/>
    </row>
    <row r="294" spans="2:10" x14ac:dyDescent="0.2">
      <c r="B294" s="74"/>
      <c r="C294" s="74"/>
      <c r="D294" s="74"/>
      <c r="E294" s="74"/>
      <c r="F294" s="74"/>
      <c r="G294" s="74"/>
      <c r="H294" s="74"/>
      <c r="I294" s="74"/>
      <c r="J294" s="74"/>
    </row>
    <row r="295" spans="2:10" x14ac:dyDescent="0.2">
      <c r="B295" s="74"/>
      <c r="C295" s="74"/>
      <c r="D295" s="74"/>
      <c r="E295" s="74"/>
      <c r="F295" s="74"/>
      <c r="G295" s="74"/>
      <c r="H295" s="74"/>
      <c r="I295" s="74"/>
      <c r="J295" s="74"/>
    </row>
    <row r="296" spans="2:10" x14ac:dyDescent="0.2">
      <c r="B296" s="74"/>
      <c r="C296" s="74"/>
      <c r="D296" s="74"/>
      <c r="E296" s="74"/>
      <c r="F296" s="74"/>
      <c r="G296" s="74"/>
      <c r="H296" s="74"/>
      <c r="I296" s="74"/>
      <c r="J296" s="74"/>
    </row>
    <row r="297" spans="2:10" x14ac:dyDescent="0.2">
      <c r="B297" s="74"/>
      <c r="C297" s="74"/>
      <c r="D297" s="74"/>
      <c r="E297" s="74"/>
      <c r="F297" s="74"/>
      <c r="G297" s="74"/>
      <c r="H297" s="74"/>
      <c r="I297" s="74"/>
      <c r="J297" s="74"/>
    </row>
    <row r="298" spans="2:10" x14ac:dyDescent="0.2">
      <c r="B298" s="74"/>
      <c r="C298" s="74"/>
      <c r="D298" s="74"/>
      <c r="E298" s="74"/>
      <c r="F298" s="74"/>
      <c r="G298" s="74"/>
      <c r="H298" s="74"/>
      <c r="I298" s="74"/>
      <c r="J298" s="74"/>
    </row>
    <row r="299" spans="2:10" x14ac:dyDescent="0.2">
      <c r="B299" s="74"/>
      <c r="C299" s="74"/>
      <c r="D299" s="74"/>
      <c r="E299" s="74"/>
      <c r="F299" s="74"/>
      <c r="G299" s="74"/>
      <c r="H299" s="74"/>
      <c r="I299" s="74"/>
      <c r="J299" s="74"/>
    </row>
    <row r="300" spans="2:10" x14ac:dyDescent="0.2">
      <c r="B300" s="74"/>
      <c r="C300" s="74"/>
      <c r="D300" s="74"/>
      <c r="E300" s="74"/>
      <c r="F300" s="74"/>
      <c r="G300" s="74"/>
      <c r="H300" s="74"/>
      <c r="I300" s="74"/>
      <c r="J300" s="74"/>
    </row>
    <row r="301" spans="2:10" x14ac:dyDescent="0.2">
      <c r="B301" s="74"/>
      <c r="C301" s="74"/>
      <c r="D301" s="74"/>
      <c r="E301" s="74"/>
      <c r="F301" s="74"/>
      <c r="G301" s="74"/>
      <c r="H301" s="74"/>
      <c r="I301" s="74"/>
      <c r="J301" s="74"/>
    </row>
    <row r="302" spans="2:10" x14ac:dyDescent="0.2">
      <c r="B302" s="74"/>
      <c r="C302" s="74"/>
      <c r="D302" s="74"/>
      <c r="E302" s="74"/>
      <c r="F302" s="74"/>
      <c r="G302" s="74"/>
      <c r="H302" s="74"/>
      <c r="I302" s="74"/>
      <c r="J302" s="74"/>
    </row>
    <row r="303" spans="2:10" x14ac:dyDescent="0.2">
      <c r="B303" s="74"/>
      <c r="C303" s="74"/>
      <c r="D303" s="74"/>
      <c r="E303" s="74"/>
      <c r="F303" s="74"/>
      <c r="G303" s="74"/>
      <c r="H303" s="74"/>
      <c r="I303" s="74"/>
      <c r="J303" s="74"/>
    </row>
    <row r="304" spans="2:10" x14ac:dyDescent="0.2">
      <c r="B304" s="74"/>
      <c r="C304" s="74"/>
      <c r="D304" s="74"/>
      <c r="E304" s="74"/>
      <c r="F304" s="74"/>
      <c r="G304" s="74"/>
      <c r="H304" s="74"/>
      <c r="I304" s="74"/>
      <c r="J304" s="74"/>
    </row>
    <row r="305" spans="2:10" x14ac:dyDescent="0.2">
      <c r="B305" s="74"/>
      <c r="C305" s="74"/>
      <c r="D305" s="74"/>
      <c r="E305" s="74"/>
      <c r="F305" s="74"/>
      <c r="G305" s="74"/>
      <c r="H305" s="74"/>
      <c r="I305" s="74"/>
      <c r="J305" s="74"/>
    </row>
    <row r="306" spans="2:10" x14ac:dyDescent="0.2">
      <c r="B306" s="74"/>
      <c r="C306" s="74"/>
      <c r="D306" s="74"/>
      <c r="E306" s="74"/>
      <c r="F306" s="74"/>
      <c r="G306" s="74"/>
      <c r="H306" s="74"/>
      <c r="I306" s="74"/>
      <c r="J306" s="74"/>
    </row>
    <row r="307" spans="2:10" x14ac:dyDescent="0.2">
      <c r="B307" s="74"/>
      <c r="C307" s="74"/>
      <c r="D307" s="74"/>
      <c r="E307" s="74"/>
      <c r="F307" s="74"/>
      <c r="G307" s="74"/>
      <c r="H307" s="74"/>
      <c r="I307" s="74"/>
      <c r="J307" s="74"/>
    </row>
    <row r="308" spans="2:10" x14ac:dyDescent="0.2">
      <c r="B308" s="74"/>
      <c r="C308" s="74"/>
      <c r="D308" s="74"/>
      <c r="E308" s="74"/>
      <c r="F308" s="74"/>
      <c r="G308" s="74"/>
      <c r="H308" s="74"/>
      <c r="I308" s="74"/>
      <c r="J308" s="74"/>
    </row>
    <row r="309" spans="2:10" x14ac:dyDescent="0.2">
      <c r="B309" s="74"/>
      <c r="C309" s="74"/>
      <c r="D309" s="74"/>
      <c r="E309" s="74"/>
      <c r="F309" s="74"/>
      <c r="G309" s="74"/>
      <c r="H309" s="74"/>
      <c r="I309" s="74"/>
      <c r="J309" s="74"/>
    </row>
    <row r="310" spans="2:10" x14ac:dyDescent="0.2">
      <c r="B310" s="74"/>
      <c r="C310" s="74"/>
      <c r="D310" s="74"/>
      <c r="E310" s="74"/>
      <c r="F310" s="74"/>
      <c r="G310" s="74"/>
      <c r="H310" s="74"/>
      <c r="I310" s="74"/>
      <c r="J310" s="74"/>
    </row>
    <row r="311" spans="2:10" x14ac:dyDescent="0.2">
      <c r="B311" s="74"/>
      <c r="C311" s="74"/>
      <c r="D311" s="74"/>
      <c r="E311" s="74"/>
      <c r="F311" s="74"/>
      <c r="G311" s="74"/>
      <c r="H311" s="74"/>
      <c r="I311" s="74"/>
      <c r="J311" s="74"/>
    </row>
    <row r="312" spans="2:10" x14ac:dyDescent="0.2">
      <c r="B312" s="74"/>
      <c r="C312" s="74"/>
      <c r="D312" s="74"/>
      <c r="E312" s="74"/>
      <c r="F312" s="74"/>
      <c r="G312" s="74"/>
      <c r="H312" s="74"/>
      <c r="I312" s="74"/>
      <c r="J312" s="74"/>
    </row>
    <row r="313" spans="2:10" x14ac:dyDescent="0.2">
      <c r="B313" s="74"/>
      <c r="C313" s="74"/>
      <c r="D313" s="74"/>
      <c r="E313" s="74"/>
      <c r="F313" s="74"/>
      <c r="G313" s="74"/>
      <c r="H313" s="74"/>
      <c r="I313" s="74"/>
      <c r="J313" s="74"/>
    </row>
    <row r="314" spans="2:10" x14ac:dyDescent="0.2">
      <c r="B314" s="74"/>
      <c r="C314" s="74"/>
      <c r="D314" s="74"/>
      <c r="E314" s="74"/>
      <c r="F314" s="74"/>
      <c r="G314" s="74"/>
      <c r="H314" s="74"/>
      <c r="I314" s="74"/>
      <c r="J314" s="74"/>
    </row>
    <row r="315" spans="2:10" x14ac:dyDescent="0.2">
      <c r="B315" s="74"/>
      <c r="C315" s="74"/>
      <c r="D315" s="74"/>
      <c r="E315" s="74"/>
      <c r="F315" s="74"/>
      <c r="G315" s="74"/>
      <c r="H315" s="74"/>
      <c r="I315" s="74"/>
      <c r="J315" s="74"/>
    </row>
    <row r="316" spans="2:10" x14ac:dyDescent="0.2">
      <c r="B316" s="74"/>
      <c r="C316" s="74"/>
      <c r="D316" s="74"/>
      <c r="E316" s="74"/>
      <c r="F316" s="74"/>
      <c r="G316" s="74"/>
      <c r="H316" s="74"/>
      <c r="I316" s="74"/>
      <c r="J316" s="74"/>
    </row>
    <row r="317" spans="2:10" x14ac:dyDescent="0.2">
      <c r="B317" s="74"/>
      <c r="C317" s="74"/>
      <c r="D317" s="74"/>
      <c r="E317" s="74"/>
      <c r="F317" s="74"/>
      <c r="G317" s="74"/>
      <c r="H317" s="74"/>
      <c r="I317" s="74"/>
      <c r="J317" s="74"/>
    </row>
    <row r="318" spans="2:10" x14ac:dyDescent="0.2">
      <c r="B318" s="74"/>
      <c r="C318" s="74"/>
      <c r="D318" s="74"/>
      <c r="E318" s="74"/>
      <c r="F318" s="74"/>
      <c r="G318" s="74"/>
      <c r="H318" s="74"/>
      <c r="I318" s="74"/>
      <c r="J318" s="74"/>
    </row>
    <row r="319" spans="2:10" x14ac:dyDescent="0.2">
      <c r="B319" s="74"/>
      <c r="C319" s="74"/>
      <c r="D319" s="74"/>
      <c r="E319" s="74"/>
      <c r="F319" s="74"/>
      <c r="G319" s="74"/>
      <c r="H319" s="74"/>
      <c r="I319" s="74"/>
      <c r="J319" s="74"/>
    </row>
    <row r="320" spans="2:10" x14ac:dyDescent="0.2">
      <c r="B320" s="74"/>
      <c r="C320" s="74"/>
      <c r="D320" s="74"/>
      <c r="E320" s="74"/>
      <c r="F320" s="74"/>
      <c r="G320" s="74"/>
      <c r="H320" s="74"/>
      <c r="I320" s="74"/>
      <c r="J320" s="74"/>
    </row>
    <row r="321" spans="2:10" x14ac:dyDescent="0.2">
      <c r="B321" s="74"/>
      <c r="C321" s="74"/>
      <c r="D321" s="74"/>
      <c r="E321" s="74"/>
      <c r="F321" s="74"/>
      <c r="G321" s="74"/>
      <c r="H321" s="74"/>
      <c r="I321" s="74"/>
      <c r="J321" s="74"/>
    </row>
    <row r="322" spans="2:10" x14ac:dyDescent="0.2">
      <c r="B322" s="74"/>
      <c r="C322" s="74"/>
      <c r="D322" s="74"/>
      <c r="E322" s="74"/>
      <c r="F322" s="74"/>
      <c r="G322" s="74"/>
      <c r="H322" s="74"/>
      <c r="I322" s="74"/>
      <c r="J322" s="74"/>
    </row>
    <row r="323" spans="2:10" x14ac:dyDescent="0.2">
      <c r="B323" s="74"/>
      <c r="C323" s="74"/>
      <c r="D323" s="74"/>
      <c r="E323" s="74"/>
      <c r="F323" s="74"/>
      <c r="G323" s="74"/>
      <c r="H323" s="74"/>
      <c r="I323" s="74"/>
      <c r="J323" s="74"/>
    </row>
    <row r="324" spans="2:10" x14ac:dyDescent="0.2">
      <c r="B324" s="74"/>
      <c r="C324" s="74"/>
      <c r="D324" s="74"/>
      <c r="E324" s="74"/>
      <c r="F324" s="74"/>
      <c r="G324" s="74"/>
      <c r="H324" s="74"/>
      <c r="I324" s="74"/>
      <c r="J324" s="74"/>
    </row>
    <row r="325" spans="2:10" x14ac:dyDescent="0.2">
      <c r="B325" s="74"/>
      <c r="C325" s="74"/>
      <c r="D325" s="74"/>
      <c r="E325" s="74"/>
      <c r="F325" s="74"/>
      <c r="G325" s="74"/>
      <c r="H325" s="74"/>
      <c r="I325" s="74"/>
      <c r="J325" s="74"/>
    </row>
    <row r="326" spans="2:10" x14ac:dyDescent="0.2">
      <c r="B326" s="74"/>
      <c r="C326" s="74"/>
      <c r="D326" s="74"/>
      <c r="E326" s="74"/>
      <c r="F326" s="74"/>
      <c r="G326" s="74"/>
      <c r="H326" s="74"/>
      <c r="I326" s="74"/>
      <c r="J326" s="74"/>
    </row>
    <row r="327" spans="2:10" x14ac:dyDescent="0.2">
      <c r="B327" s="74"/>
      <c r="C327" s="74"/>
      <c r="D327" s="74"/>
      <c r="E327" s="74"/>
      <c r="F327" s="74"/>
      <c r="G327" s="74"/>
      <c r="H327" s="74"/>
      <c r="I327" s="74"/>
      <c r="J327" s="74"/>
    </row>
    <row r="328" spans="2:10" x14ac:dyDescent="0.2">
      <c r="B328" s="74"/>
      <c r="C328" s="74"/>
      <c r="D328" s="74"/>
      <c r="E328" s="74"/>
      <c r="F328" s="74"/>
      <c r="G328" s="74"/>
      <c r="H328" s="74"/>
      <c r="I328" s="74"/>
      <c r="J328" s="74"/>
    </row>
    <row r="329" spans="2:10" x14ac:dyDescent="0.2">
      <c r="B329" s="74"/>
      <c r="C329" s="74"/>
      <c r="D329" s="74"/>
      <c r="E329" s="74"/>
      <c r="F329" s="74"/>
      <c r="G329" s="74"/>
      <c r="H329" s="74"/>
      <c r="I329" s="74"/>
      <c r="J329" s="74"/>
    </row>
    <row r="330" spans="2:10" x14ac:dyDescent="0.2">
      <c r="B330" s="74"/>
      <c r="C330" s="74"/>
      <c r="D330" s="74"/>
      <c r="E330" s="74"/>
      <c r="F330" s="74"/>
      <c r="G330" s="74"/>
      <c r="H330" s="74"/>
      <c r="I330" s="74"/>
      <c r="J330" s="74"/>
    </row>
    <row r="331" spans="2:10" x14ac:dyDescent="0.2">
      <c r="B331" s="74"/>
      <c r="C331" s="74"/>
      <c r="D331" s="74"/>
      <c r="E331" s="74"/>
      <c r="F331" s="74"/>
      <c r="G331" s="74"/>
      <c r="H331" s="74"/>
      <c r="I331" s="74"/>
      <c r="J331" s="74"/>
    </row>
    <row r="332" spans="2:10" x14ac:dyDescent="0.2">
      <c r="B332" s="74"/>
      <c r="C332" s="74"/>
      <c r="D332" s="74"/>
      <c r="E332" s="74"/>
      <c r="F332" s="74"/>
      <c r="G332" s="74"/>
      <c r="H332" s="74"/>
      <c r="I332" s="74"/>
      <c r="J332" s="74"/>
    </row>
    <row r="333" spans="2:10" x14ac:dyDescent="0.2">
      <c r="B333" s="74"/>
      <c r="C333" s="74"/>
      <c r="D333" s="74"/>
      <c r="E333" s="74"/>
      <c r="F333" s="74"/>
      <c r="G333" s="74"/>
      <c r="H333" s="74"/>
      <c r="I333" s="74"/>
      <c r="J333" s="74"/>
    </row>
    <row r="334" spans="2:10" x14ac:dyDescent="0.2">
      <c r="B334" s="74"/>
      <c r="C334" s="74"/>
      <c r="D334" s="74"/>
      <c r="E334" s="74"/>
      <c r="F334" s="74"/>
      <c r="G334" s="74"/>
      <c r="H334" s="74"/>
      <c r="I334" s="74"/>
      <c r="J334" s="74"/>
    </row>
    <row r="335" spans="2:10" x14ac:dyDescent="0.2">
      <c r="B335" s="74"/>
      <c r="C335" s="74"/>
      <c r="D335" s="74"/>
      <c r="E335" s="74"/>
      <c r="F335" s="74"/>
      <c r="G335" s="74"/>
      <c r="H335" s="74"/>
      <c r="I335" s="74"/>
      <c r="J335" s="74"/>
    </row>
    <row r="336" spans="2:10" x14ac:dyDescent="0.2">
      <c r="B336" s="74"/>
      <c r="C336" s="74"/>
      <c r="D336" s="74"/>
      <c r="E336" s="74"/>
      <c r="F336" s="74"/>
      <c r="G336" s="74"/>
      <c r="H336" s="74"/>
      <c r="I336" s="74"/>
      <c r="J336" s="74"/>
    </row>
    <row r="337" spans="2:10" x14ac:dyDescent="0.2">
      <c r="B337" s="74"/>
      <c r="C337" s="74"/>
      <c r="D337" s="74"/>
      <c r="E337" s="74"/>
      <c r="F337" s="74"/>
      <c r="G337" s="74"/>
      <c r="H337" s="74"/>
      <c r="I337" s="74"/>
      <c r="J337" s="74"/>
    </row>
    <row r="338" spans="2:10" x14ac:dyDescent="0.2">
      <c r="B338" s="74"/>
      <c r="C338" s="74"/>
      <c r="D338" s="74"/>
      <c r="E338" s="74"/>
      <c r="F338" s="74"/>
      <c r="G338" s="74"/>
      <c r="H338" s="74"/>
      <c r="I338" s="74"/>
      <c r="J338" s="74"/>
    </row>
    <row r="339" spans="2:10" x14ac:dyDescent="0.2">
      <c r="B339" s="74"/>
      <c r="C339" s="74"/>
      <c r="D339" s="74"/>
      <c r="E339" s="74"/>
      <c r="F339" s="74"/>
      <c r="G339" s="74"/>
      <c r="H339" s="74"/>
      <c r="I339" s="74"/>
      <c r="J339" s="74"/>
    </row>
    <row r="340" spans="2:10" x14ac:dyDescent="0.2">
      <c r="B340" s="74"/>
      <c r="C340" s="74"/>
      <c r="D340" s="74"/>
      <c r="E340" s="74"/>
      <c r="F340" s="74"/>
      <c r="G340" s="74"/>
      <c r="H340" s="74"/>
      <c r="I340" s="74"/>
      <c r="J340" s="74"/>
    </row>
    <row r="341" spans="2:10" x14ac:dyDescent="0.2">
      <c r="B341" s="74"/>
      <c r="C341" s="74"/>
      <c r="D341" s="74"/>
      <c r="E341" s="74"/>
      <c r="F341" s="74"/>
      <c r="G341" s="74"/>
      <c r="H341" s="74"/>
      <c r="I341" s="74"/>
      <c r="J341" s="74"/>
    </row>
    <row r="342" spans="2:10" x14ac:dyDescent="0.2">
      <c r="B342" s="74"/>
      <c r="C342" s="74"/>
      <c r="D342" s="74"/>
      <c r="E342" s="74"/>
      <c r="F342" s="74"/>
      <c r="G342" s="74"/>
      <c r="H342" s="74"/>
      <c r="I342" s="74"/>
      <c r="J342" s="74"/>
    </row>
    <row r="343" spans="2:10" x14ac:dyDescent="0.2">
      <c r="B343" s="74"/>
      <c r="C343" s="74"/>
      <c r="D343" s="74"/>
      <c r="E343" s="74"/>
      <c r="F343" s="74"/>
      <c r="G343" s="74"/>
      <c r="H343" s="74"/>
      <c r="I343" s="74"/>
      <c r="J343" s="74"/>
    </row>
    <row r="344" spans="2:10" x14ac:dyDescent="0.2">
      <c r="B344" s="74"/>
      <c r="C344" s="74"/>
      <c r="D344" s="74"/>
      <c r="E344" s="74"/>
      <c r="F344" s="74"/>
      <c r="G344" s="74"/>
      <c r="H344" s="74"/>
      <c r="I344" s="74"/>
      <c r="J344" s="74"/>
    </row>
    <row r="345" spans="2:10" x14ac:dyDescent="0.2">
      <c r="B345" s="74"/>
      <c r="C345" s="74"/>
      <c r="D345" s="74"/>
      <c r="E345" s="74"/>
      <c r="F345" s="74"/>
      <c r="G345" s="74"/>
      <c r="H345" s="74"/>
      <c r="I345" s="74"/>
      <c r="J345" s="74"/>
    </row>
    <row r="346" spans="2:10" x14ac:dyDescent="0.2">
      <c r="B346" s="74"/>
      <c r="C346" s="74"/>
      <c r="D346" s="74"/>
      <c r="E346" s="74"/>
      <c r="F346" s="74"/>
      <c r="G346" s="74"/>
      <c r="H346" s="74"/>
      <c r="I346" s="74"/>
      <c r="J346" s="74"/>
    </row>
    <row r="347" spans="2:10" x14ac:dyDescent="0.2">
      <c r="B347" s="74"/>
      <c r="C347" s="74"/>
      <c r="D347" s="74"/>
      <c r="E347" s="74"/>
      <c r="F347" s="74"/>
      <c r="G347" s="74"/>
      <c r="H347" s="74"/>
      <c r="I347" s="74"/>
      <c r="J347" s="74"/>
    </row>
    <row r="348" spans="2:10" x14ac:dyDescent="0.2">
      <c r="B348" s="74"/>
      <c r="C348" s="74"/>
      <c r="D348" s="74"/>
      <c r="E348" s="74"/>
      <c r="F348" s="74"/>
      <c r="G348" s="74"/>
      <c r="H348" s="74"/>
      <c r="I348" s="74"/>
      <c r="J348" s="74"/>
    </row>
    <row r="349" spans="2:10" x14ac:dyDescent="0.2">
      <c r="B349" s="74"/>
      <c r="C349" s="74"/>
      <c r="D349" s="74"/>
      <c r="E349" s="74"/>
      <c r="F349" s="74"/>
      <c r="G349" s="74"/>
      <c r="H349" s="74"/>
      <c r="I349" s="74"/>
      <c r="J349" s="74"/>
    </row>
    <row r="350" spans="2:10" x14ac:dyDescent="0.2">
      <c r="B350" s="74"/>
      <c r="C350" s="74"/>
      <c r="D350" s="74"/>
      <c r="E350" s="74"/>
      <c r="F350" s="74"/>
      <c r="G350" s="74"/>
      <c r="H350" s="74"/>
      <c r="I350" s="74"/>
      <c r="J350" s="74"/>
    </row>
    <row r="351" spans="2:10" x14ac:dyDescent="0.2">
      <c r="B351" s="74"/>
      <c r="C351" s="74"/>
      <c r="D351" s="74"/>
      <c r="E351" s="74"/>
      <c r="F351" s="74"/>
      <c r="G351" s="74"/>
      <c r="H351" s="74"/>
      <c r="I351" s="74"/>
      <c r="J351" s="74"/>
    </row>
    <row r="352" spans="2:10" x14ac:dyDescent="0.2">
      <c r="B352" s="74"/>
      <c r="C352" s="74"/>
      <c r="D352" s="74"/>
      <c r="E352" s="74"/>
      <c r="F352" s="74"/>
      <c r="G352" s="74"/>
      <c r="H352" s="74"/>
      <c r="I352" s="74"/>
      <c r="J352" s="74"/>
    </row>
    <row r="353" spans="2:10" x14ac:dyDescent="0.2">
      <c r="B353" s="74"/>
      <c r="C353" s="74"/>
      <c r="D353" s="74"/>
      <c r="E353" s="74"/>
      <c r="F353" s="74"/>
      <c r="G353" s="74"/>
      <c r="H353" s="74"/>
      <c r="I353" s="74"/>
      <c r="J353" s="74"/>
    </row>
    <row r="354" spans="2:10" x14ac:dyDescent="0.2">
      <c r="B354" s="74"/>
      <c r="C354" s="74"/>
      <c r="D354" s="74"/>
      <c r="E354" s="74"/>
      <c r="F354" s="74"/>
      <c r="G354" s="74"/>
      <c r="H354" s="74"/>
      <c r="I354" s="74"/>
      <c r="J354" s="74"/>
    </row>
    <row r="355" spans="2:10" x14ac:dyDescent="0.2">
      <c r="B355" s="74"/>
      <c r="C355" s="74"/>
      <c r="D355" s="74"/>
      <c r="E355" s="74"/>
      <c r="F355" s="74"/>
      <c r="G355" s="74"/>
      <c r="H355" s="74"/>
      <c r="I355" s="74"/>
      <c r="J355" s="74"/>
    </row>
    <row r="356" spans="2:10" x14ac:dyDescent="0.2">
      <c r="B356" s="74"/>
      <c r="C356" s="74"/>
      <c r="D356" s="74"/>
      <c r="E356" s="74"/>
      <c r="F356" s="74"/>
      <c r="G356" s="74"/>
      <c r="H356" s="74"/>
      <c r="I356" s="74"/>
      <c r="J356" s="74"/>
    </row>
    <row r="357" spans="2:10" x14ac:dyDescent="0.2">
      <c r="B357" s="74"/>
      <c r="C357" s="74"/>
      <c r="D357" s="74"/>
      <c r="E357" s="74"/>
      <c r="F357" s="74"/>
      <c r="G357" s="74"/>
      <c r="H357" s="74"/>
      <c r="I357" s="74"/>
      <c r="J357" s="74"/>
    </row>
    <row r="358" spans="2:10" x14ac:dyDescent="0.2">
      <c r="B358" s="74"/>
      <c r="C358" s="74"/>
      <c r="D358" s="74"/>
      <c r="E358" s="74"/>
      <c r="F358" s="74"/>
      <c r="G358" s="74"/>
      <c r="H358" s="74"/>
      <c r="I358" s="74"/>
      <c r="J358" s="74"/>
    </row>
    <row r="359" spans="2:10" x14ac:dyDescent="0.2">
      <c r="B359" s="74"/>
      <c r="C359" s="74"/>
      <c r="D359" s="74"/>
      <c r="E359" s="74"/>
      <c r="F359" s="74"/>
      <c r="G359" s="74"/>
      <c r="H359" s="74"/>
      <c r="I359" s="74"/>
      <c r="J359" s="74"/>
    </row>
    <row r="360" spans="2:10" x14ac:dyDescent="0.2">
      <c r="B360" s="74"/>
      <c r="C360" s="74"/>
      <c r="D360" s="74"/>
      <c r="E360" s="74"/>
      <c r="F360" s="74"/>
      <c r="G360" s="74"/>
      <c r="H360" s="74"/>
      <c r="I360" s="74"/>
      <c r="J360" s="74"/>
    </row>
    <row r="361" spans="2:10" x14ac:dyDescent="0.2">
      <c r="B361" s="74"/>
      <c r="C361" s="74"/>
      <c r="D361" s="74"/>
      <c r="E361" s="74"/>
      <c r="F361" s="74"/>
      <c r="G361" s="74"/>
      <c r="H361" s="74"/>
      <c r="I361" s="74"/>
      <c r="J361" s="74"/>
    </row>
    <row r="362" spans="2:10" x14ac:dyDescent="0.2">
      <c r="B362" s="74"/>
      <c r="C362" s="74"/>
      <c r="D362" s="74"/>
      <c r="E362" s="74"/>
      <c r="F362" s="74"/>
      <c r="G362" s="74"/>
      <c r="H362" s="74"/>
      <c r="I362" s="74"/>
      <c r="J362" s="74"/>
    </row>
    <row r="363" spans="2:10" x14ac:dyDescent="0.2">
      <c r="B363" s="74"/>
      <c r="C363" s="74"/>
      <c r="D363" s="74"/>
      <c r="E363" s="74"/>
      <c r="F363" s="74"/>
      <c r="G363" s="74"/>
      <c r="H363" s="74"/>
      <c r="I363" s="74"/>
      <c r="J363" s="74"/>
    </row>
    <row r="364" spans="2:10" x14ac:dyDescent="0.2">
      <c r="B364" s="74"/>
      <c r="C364" s="74"/>
      <c r="D364" s="74"/>
      <c r="E364" s="74"/>
      <c r="F364" s="74"/>
      <c r="G364" s="74"/>
      <c r="H364" s="74"/>
      <c r="I364" s="74"/>
      <c r="J364" s="74"/>
    </row>
    <row r="365" spans="2:10" x14ac:dyDescent="0.2">
      <c r="B365" s="74"/>
      <c r="C365" s="74"/>
      <c r="D365" s="74"/>
      <c r="E365" s="74"/>
      <c r="F365" s="74"/>
      <c r="G365" s="74"/>
      <c r="H365" s="74"/>
      <c r="I365" s="74"/>
      <c r="J365" s="74"/>
    </row>
    <row r="366" spans="2:10" x14ac:dyDescent="0.2">
      <c r="B366" s="74"/>
      <c r="C366" s="74"/>
      <c r="D366" s="74"/>
      <c r="E366" s="74"/>
      <c r="F366" s="74"/>
      <c r="G366" s="74"/>
      <c r="H366" s="74"/>
      <c r="I366" s="74"/>
      <c r="J366" s="74"/>
    </row>
    <row r="367" spans="2:10" x14ac:dyDescent="0.2">
      <c r="B367" s="74"/>
      <c r="C367" s="74"/>
      <c r="D367" s="74"/>
      <c r="E367" s="74"/>
      <c r="F367" s="74"/>
      <c r="G367" s="74"/>
      <c r="H367" s="74"/>
      <c r="I367" s="74"/>
      <c r="J367" s="74"/>
    </row>
    <row r="368" spans="2:10" x14ac:dyDescent="0.2">
      <c r="B368" s="74"/>
      <c r="C368" s="74"/>
      <c r="D368" s="74"/>
      <c r="E368" s="74"/>
      <c r="F368" s="74"/>
      <c r="G368" s="74"/>
      <c r="H368" s="74"/>
      <c r="I368" s="74"/>
      <c r="J368" s="74"/>
    </row>
    <row r="369" spans="2:10" x14ac:dyDescent="0.2">
      <c r="B369" s="74"/>
      <c r="C369" s="74"/>
      <c r="D369" s="74"/>
      <c r="E369" s="74"/>
      <c r="F369" s="74"/>
      <c r="G369" s="74"/>
      <c r="H369" s="74"/>
      <c r="I369" s="74"/>
      <c r="J369" s="74"/>
    </row>
    <row r="370" spans="2:10" x14ac:dyDescent="0.2">
      <c r="B370" s="74"/>
      <c r="C370" s="74"/>
      <c r="D370" s="74"/>
      <c r="E370" s="74"/>
      <c r="F370" s="74"/>
      <c r="G370" s="74"/>
      <c r="H370" s="74"/>
      <c r="I370" s="74"/>
      <c r="J370" s="74"/>
    </row>
    <row r="371" spans="2:10" x14ac:dyDescent="0.2">
      <c r="B371" s="74"/>
      <c r="C371" s="74"/>
      <c r="D371" s="74"/>
      <c r="E371" s="74"/>
      <c r="F371" s="74"/>
      <c r="G371" s="74"/>
      <c r="H371" s="74"/>
      <c r="I371" s="74"/>
      <c r="J371" s="74"/>
    </row>
    <row r="372" spans="2:10" x14ac:dyDescent="0.2">
      <c r="B372" s="74"/>
      <c r="C372" s="74"/>
      <c r="D372" s="74"/>
      <c r="E372" s="74"/>
      <c r="F372" s="74"/>
      <c r="G372" s="74"/>
      <c r="H372" s="74"/>
      <c r="I372" s="74"/>
      <c r="J372" s="74"/>
    </row>
    <row r="373" spans="2:10" x14ac:dyDescent="0.2">
      <c r="B373" s="74"/>
      <c r="C373" s="74"/>
      <c r="D373" s="74"/>
      <c r="E373" s="74"/>
      <c r="F373" s="74"/>
      <c r="G373" s="74"/>
      <c r="H373" s="74"/>
      <c r="I373" s="74"/>
      <c r="J373" s="74"/>
    </row>
    <row r="374" spans="2:10" x14ac:dyDescent="0.2">
      <c r="B374" s="74"/>
      <c r="C374" s="74"/>
      <c r="D374" s="74"/>
      <c r="E374" s="74"/>
      <c r="F374" s="74"/>
      <c r="G374" s="74"/>
      <c r="H374" s="74"/>
      <c r="I374" s="74"/>
      <c r="J374" s="74"/>
    </row>
    <row r="375" spans="2:10" x14ac:dyDescent="0.2">
      <c r="B375" s="74"/>
      <c r="C375" s="74"/>
      <c r="D375" s="74"/>
      <c r="E375" s="74"/>
      <c r="F375" s="74"/>
      <c r="G375" s="74"/>
      <c r="H375" s="74"/>
      <c r="I375" s="74"/>
      <c r="J375" s="74"/>
    </row>
    <row r="376" spans="2:10" x14ac:dyDescent="0.2">
      <c r="B376" s="74"/>
      <c r="C376" s="74"/>
      <c r="D376" s="74"/>
      <c r="E376" s="74"/>
      <c r="F376" s="74"/>
      <c r="G376" s="74"/>
      <c r="H376" s="74"/>
      <c r="I376" s="74"/>
      <c r="J376" s="74"/>
    </row>
    <row r="377" spans="2:10" x14ac:dyDescent="0.2">
      <c r="B377" s="74"/>
      <c r="C377" s="74"/>
      <c r="D377" s="74"/>
      <c r="E377" s="74"/>
      <c r="F377" s="74"/>
      <c r="G377" s="74"/>
      <c r="H377" s="74"/>
      <c r="I377" s="74"/>
      <c r="J377" s="74"/>
    </row>
    <row r="378" spans="2:10" x14ac:dyDescent="0.2">
      <c r="B378" s="74"/>
      <c r="C378" s="74"/>
      <c r="D378" s="74"/>
      <c r="E378" s="74"/>
      <c r="F378" s="74"/>
      <c r="G378" s="74"/>
      <c r="H378" s="74"/>
      <c r="I378" s="74"/>
      <c r="J378" s="74"/>
    </row>
    <row r="379" spans="2:10" x14ac:dyDescent="0.2">
      <c r="B379" s="74"/>
      <c r="C379" s="74"/>
      <c r="D379" s="74"/>
      <c r="E379" s="74"/>
      <c r="F379" s="74"/>
      <c r="G379" s="74"/>
      <c r="H379" s="74"/>
      <c r="I379" s="74"/>
      <c r="J379" s="74"/>
    </row>
    <row r="380" spans="2:10" x14ac:dyDescent="0.2">
      <c r="B380" s="74"/>
      <c r="C380" s="74"/>
      <c r="D380" s="74"/>
      <c r="E380" s="74"/>
      <c r="F380" s="74"/>
      <c r="G380" s="74"/>
      <c r="H380" s="74"/>
      <c r="I380" s="74"/>
      <c r="J380" s="74"/>
    </row>
    <row r="381" spans="2:10" x14ac:dyDescent="0.2">
      <c r="B381" s="74"/>
      <c r="C381" s="74"/>
      <c r="D381" s="74"/>
      <c r="E381" s="74"/>
      <c r="F381" s="74"/>
      <c r="G381" s="74"/>
      <c r="H381" s="74"/>
      <c r="I381" s="74"/>
      <c r="J381" s="74"/>
    </row>
    <row r="382" spans="2:10" x14ac:dyDescent="0.2">
      <c r="B382" s="74"/>
      <c r="C382" s="74"/>
      <c r="D382" s="74"/>
      <c r="E382" s="74"/>
      <c r="F382" s="74"/>
      <c r="G382" s="74"/>
      <c r="H382" s="74"/>
      <c r="I382" s="74"/>
      <c r="J382" s="74"/>
    </row>
    <row r="383" spans="2:10" x14ac:dyDescent="0.2">
      <c r="B383" s="74"/>
      <c r="C383" s="74"/>
      <c r="D383" s="74"/>
      <c r="E383" s="74"/>
      <c r="F383" s="74"/>
      <c r="G383" s="74"/>
      <c r="H383" s="74"/>
      <c r="I383" s="74"/>
      <c r="J383" s="74"/>
    </row>
    <row r="384" spans="2:10" x14ac:dyDescent="0.2">
      <c r="B384" s="74"/>
      <c r="C384" s="74"/>
      <c r="D384" s="74"/>
      <c r="E384" s="74"/>
      <c r="F384" s="74"/>
      <c r="G384" s="74"/>
      <c r="H384" s="74"/>
      <c r="I384" s="74"/>
      <c r="J384" s="74"/>
    </row>
  </sheetData>
  <sheetProtection password="DB0F" sheet="1" objects="1" scenarios="1"/>
  <mergeCells count="7">
    <mergeCell ref="D62:G62"/>
    <mergeCell ref="D2:J2"/>
    <mergeCell ref="C11:E11"/>
    <mergeCell ref="G11:I11"/>
    <mergeCell ref="C39:D39"/>
    <mergeCell ref="C55:D55"/>
    <mergeCell ref="G55:H55"/>
  </mergeCells>
  <phoneticPr fontId="3" type="noConversion"/>
  <pageMargins left="0.44" right="0.23" top="0.35" bottom="0.17" header="0.51" footer="0.2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R143"/>
  <sheetViews>
    <sheetView topLeftCell="B109" workbookViewId="0">
      <selection activeCell="N119" sqref="N119"/>
    </sheetView>
  </sheetViews>
  <sheetFormatPr baseColWidth="10" defaultRowHeight="12.75" x14ac:dyDescent="0.2"/>
  <cols>
    <col min="2" max="2" width="27.42578125" bestFit="1" customWidth="1"/>
    <col min="3" max="3" width="13.5703125" customWidth="1"/>
    <col min="4" max="4" width="21.5703125" bestFit="1" customWidth="1"/>
    <col min="5" max="5" width="12" customWidth="1"/>
    <col min="7" max="7" width="16" customWidth="1"/>
    <col min="8" max="8" width="12.5703125" customWidth="1"/>
    <col min="41" max="41" width="19" bestFit="1" customWidth="1"/>
  </cols>
  <sheetData>
    <row r="2" spans="2:44" ht="38.25" x14ac:dyDescent="0.2">
      <c r="B2" s="34" t="s">
        <v>6</v>
      </c>
      <c r="C2" s="34" t="s">
        <v>7</v>
      </c>
      <c r="D2" s="34" t="s">
        <v>8</v>
      </c>
      <c r="E2" s="34"/>
      <c r="F2" s="34"/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35" t="s">
        <v>18</v>
      </c>
      <c r="R2" s="35" t="s">
        <v>19</v>
      </c>
      <c r="S2" s="35" t="s">
        <v>20</v>
      </c>
      <c r="T2" s="35" t="s">
        <v>21</v>
      </c>
      <c r="U2" s="35" t="s">
        <v>22</v>
      </c>
      <c r="V2" s="35" t="s">
        <v>23</v>
      </c>
      <c r="W2" s="35" t="s">
        <v>24</v>
      </c>
      <c r="X2" s="35" t="s">
        <v>25</v>
      </c>
      <c r="Y2" s="35" t="s">
        <v>26</v>
      </c>
      <c r="Z2" s="35" t="s">
        <v>27</v>
      </c>
      <c r="AA2" s="35" t="s">
        <v>28</v>
      </c>
      <c r="AB2" s="35" t="s">
        <v>29</v>
      </c>
      <c r="AC2" s="35" t="s">
        <v>30</v>
      </c>
      <c r="AD2" s="155" t="s">
        <v>31</v>
      </c>
      <c r="AE2" s="155"/>
      <c r="AF2" s="34" t="s">
        <v>32</v>
      </c>
      <c r="AG2" s="34" t="s">
        <v>33</v>
      </c>
      <c r="AH2" s="34" t="s">
        <v>34</v>
      </c>
      <c r="AI2" s="34" t="s">
        <v>35</v>
      </c>
      <c r="AJ2" s="34" t="s">
        <v>36</v>
      </c>
      <c r="AK2" s="34" t="s">
        <v>37</v>
      </c>
      <c r="AL2" s="34" t="s">
        <v>37</v>
      </c>
      <c r="AM2" s="34" t="s">
        <v>37</v>
      </c>
    </row>
    <row r="3" spans="2:44" x14ac:dyDescent="0.2">
      <c r="B3" s="36">
        <v>1</v>
      </c>
      <c r="C3" s="36">
        <v>2</v>
      </c>
      <c r="D3" s="36">
        <v>3</v>
      </c>
      <c r="E3" s="36">
        <v>4</v>
      </c>
      <c r="F3" s="36"/>
      <c r="G3" s="36">
        <v>5</v>
      </c>
      <c r="H3" s="36">
        <v>6</v>
      </c>
      <c r="I3" s="36">
        <v>7</v>
      </c>
      <c r="J3" s="36">
        <v>8</v>
      </c>
      <c r="K3" s="36">
        <v>9</v>
      </c>
      <c r="L3" s="36">
        <v>10</v>
      </c>
      <c r="M3" s="36">
        <v>11</v>
      </c>
      <c r="N3" s="36">
        <v>12</v>
      </c>
      <c r="O3" s="36">
        <v>13</v>
      </c>
      <c r="P3" s="36">
        <v>14</v>
      </c>
      <c r="Q3" s="36">
        <v>15</v>
      </c>
      <c r="R3" s="36">
        <v>16</v>
      </c>
      <c r="S3" s="36">
        <v>17</v>
      </c>
      <c r="T3" s="36">
        <v>18</v>
      </c>
      <c r="U3" s="36">
        <v>19</v>
      </c>
      <c r="V3" s="36">
        <v>20</v>
      </c>
      <c r="W3" s="36">
        <v>21</v>
      </c>
      <c r="X3" s="36">
        <v>22</v>
      </c>
      <c r="Y3" s="36">
        <v>23</v>
      </c>
      <c r="Z3" s="36">
        <v>24</v>
      </c>
      <c r="AA3" s="36">
        <v>25</v>
      </c>
      <c r="AB3" s="36">
        <v>26</v>
      </c>
      <c r="AC3" s="36">
        <v>27</v>
      </c>
      <c r="AD3" s="36">
        <v>28</v>
      </c>
      <c r="AE3" s="36">
        <v>29</v>
      </c>
      <c r="AF3" s="36">
        <v>30</v>
      </c>
      <c r="AG3" s="36">
        <v>31</v>
      </c>
      <c r="AH3" s="36">
        <v>32</v>
      </c>
      <c r="AI3" s="36">
        <v>33</v>
      </c>
      <c r="AJ3" s="36">
        <v>34</v>
      </c>
      <c r="AK3" s="36">
        <v>35</v>
      </c>
      <c r="AL3" s="36">
        <v>36</v>
      </c>
      <c r="AM3" s="36">
        <v>37</v>
      </c>
      <c r="AP3" t="str">
        <f>Rénovation!E20</f>
        <v>Entre 0 et 200 m</v>
      </c>
    </row>
    <row r="4" spans="2:44" x14ac:dyDescent="0.2">
      <c r="B4" s="37">
        <v>2</v>
      </c>
      <c r="C4" s="38">
        <v>1</v>
      </c>
      <c r="D4" s="38" t="s">
        <v>39</v>
      </c>
      <c r="E4" s="39" t="str">
        <f t="shared" ref="E4:E35" si="0">C4&amp;" - "&amp;D4</f>
        <v>1 - Ain</v>
      </c>
      <c r="F4" s="37">
        <v>2</v>
      </c>
      <c r="G4" s="38" t="s">
        <v>40</v>
      </c>
      <c r="H4" s="38" t="s">
        <v>41</v>
      </c>
      <c r="I4" s="38">
        <v>2</v>
      </c>
      <c r="J4" s="38">
        <f t="shared" ref="J4:J35" si="1">MATCH(L4,M4:AA4,0)-1</f>
        <v>12</v>
      </c>
      <c r="K4" s="38">
        <f t="shared" ref="K4:K35" si="2">MAX(M4:AA4)</f>
        <v>-10</v>
      </c>
      <c r="L4" s="38">
        <f t="shared" ref="L4:L35" si="3">MIN(M4:AA4)</f>
        <v>-20</v>
      </c>
      <c r="M4" s="38" t="s">
        <v>2</v>
      </c>
      <c r="N4" s="42" t="s">
        <v>2</v>
      </c>
      <c r="O4" s="38">
        <v>-10</v>
      </c>
      <c r="P4" s="38">
        <v>-11</v>
      </c>
      <c r="Q4" s="38">
        <v>-12</v>
      </c>
      <c r="R4" s="38">
        <v>-13</v>
      </c>
      <c r="S4" s="38">
        <v>-14</v>
      </c>
      <c r="T4" s="38">
        <v>-15</v>
      </c>
      <c r="U4" s="38">
        <v>-16</v>
      </c>
      <c r="V4" s="38">
        <v>-17</v>
      </c>
      <c r="W4" s="38">
        <v>-18</v>
      </c>
      <c r="X4" s="38">
        <v>-19</v>
      </c>
      <c r="Y4" s="38">
        <v>-20</v>
      </c>
      <c r="Z4" s="38" t="s">
        <v>2</v>
      </c>
      <c r="AA4" s="38" t="s">
        <v>2</v>
      </c>
      <c r="AB4" s="40">
        <v>4900</v>
      </c>
      <c r="AC4" s="76">
        <v>63000</v>
      </c>
      <c r="AD4" s="38"/>
      <c r="AE4" s="38"/>
      <c r="AF4" s="38">
        <v>80</v>
      </c>
      <c r="AG4" s="38"/>
      <c r="AH4" s="38">
        <f t="shared" ref="AH4:AH35" si="4">IF(AG4=0,AF4,(AF4+AG4)/2)</f>
        <v>80</v>
      </c>
      <c r="AI4" s="38">
        <v>1.5</v>
      </c>
      <c r="AJ4" s="38"/>
      <c r="AK4" s="38" t="s">
        <v>42</v>
      </c>
      <c r="AL4" s="38">
        <v>1450</v>
      </c>
      <c r="AM4" s="41">
        <v>1</v>
      </c>
      <c r="AN4">
        <v>1</v>
      </c>
      <c r="AO4" s="35" t="s">
        <v>161</v>
      </c>
      <c r="AP4">
        <f>IF(AP3=AO4,1,IF(AP3=AO5,2,IF(AP3=AO6,3,IF(AP3=AO7,4,IF(AP3=AO8,5,IF(AP3=AO9,6,IF(AP3=AO10,7)))))))</f>
        <v>1</v>
      </c>
      <c r="AQ4" t="b">
        <f>IF(AP3=AO11,8,IF(AP3=AO12,9,IF(AP3=AO13,10,IF(AP3=AO14,11,IF(AP3=AO15,12,IF(AP3=AO16,13))))))</f>
        <v>0</v>
      </c>
      <c r="AR4">
        <f>AQ4+AP4</f>
        <v>1</v>
      </c>
    </row>
    <row r="5" spans="2:44" x14ac:dyDescent="0.2">
      <c r="B5" s="37">
        <v>3</v>
      </c>
      <c r="C5" s="38">
        <v>2</v>
      </c>
      <c r="D5" s="38" t="s">
        <v>43</v>
      </c>
      <c r="E5" s="39" t="str">
        <f t="shared" si="0"/>
        <v>2 - Aisne</v>
      </c>
      <c r="F5" s="37">
        <v>3</v>
      </c>
      <c r="G5" s="38" t="s">
        <v>40</v>
      </c>
      <c r="H5" s="38" t="s">
        <v>44</v>
      </c>
      <c r="I5" s="38">
        <v>2</v>
      </c>
      <c r="J5" s="38">
        <f t="shared" si="1"/>
        <v>3</v>
      </c>
      <c r="K5" s="38">
        <f t="shared" si="2"/>
        <v>-7</v>
      </c>
      <c r="L5" s="38">
        <f t="shared" si="3"/>
        <v>-8</v>
      </c>
      <c r="M5" s="38" t="s">
        <v>2</v>
      </c>
      <c r="N5" s="42" t="s">
        <v>2</v>
      </c>
      <c r="O5" s="38">
        <v>-7</v>
      </c>
      <c r="P5" s="38">
        <v>-8</v>
      </c>
      <c r="Q5" s="38" t="s">
        <v>2</v>
      </c>
      <c r="R5" s="38" t="s">
        <v>2</v>
      </c>
      <c r="S5" s="38" t="s">
        <v>2</v>
      </c>
      <c r="T5" s="38" t="s">
        <v>2</v>
      </c>
      <c r="U5" s="38" t="s">
        <v>2</v>
      </c>
      <c r="V5" s="38" t="s">
        <v>2</v>
      </c>
      <c r="W5" s="38" t="s">
        <v>2</v>
      </c>
      <c r="X5" s="38" t="s">
        <v>2</v>
      </c>
      <c r="Y5" s="38" t="s">
        <v>2</v>
      </c>
      <c r="Z5" s="38" t="s">
        <v>2</v>
      </c>
      <c r="AA5" s="38" t="s">
        <v>2</v>
      </c>
      <c r="AB5" s="40">
        <v>5800</v>
      </c>
      <c r="AC5" s="76">
        <v>65400</v>
      </c>
      <c r="AD5" s="38"/>
      <c r="AE5" s="38"/>
      <c r="AF5" s="38">
        <v>73</v>
      </c>
      <c r="AG5" s="38"/>
      <c r="AH5" s="38">
        <f t="shared" si="4"/>
        <v>73</v>
      </c>
      <c r="AI5" s="38"/>
      <c r="AJ5" s="38"/>
      <c r="AK5" s="38" t="s">
        <v>38</v>
      </c>
      <c r="AL5" s="38">
        <v>1250</v>
      </c>
      <c r="AM5" s="41">
        <v>1</v>
      </c>
      <c r="AN5">
        <v>2</v>
      </c>
      <c r="AO5" s="35" t="s">
        <v>162</v>
      </c>
    </row>
    <row r="6" spans="2:44" x14ac:dyDescent="0.2">
      <c r="B6" s="37">
        <v>4</v>
      </c>
      <c r="C6" s="38">
        <v>3</v>
      </c>
      <c r="D6" s="38" t="s">
        <v>45</v>
      </c>
      <c r="E6" s="39" t="str">
        <f t="shared" si="0"/>
        <v>3 - Allier</v>
      </c>
      <c r="F6" s="37">
        <v>4</v>
      </c>
      <c r="G6" s="38" t="s">
        <v>40</v>
      </c>
      <c r="H6" s="38" t="s">
        <v>41</v>
      </c>
      <c r="I6" s="38">
        <v>2</v>
      </c>
      <c r="J6" s="38">
        <f t="shared" si="1"/>
        <v>14</v>
      </c>
      <c r="K6" s="38">
        <f t="shared" si="2"/>
        <v>-8</v>
      </c>
      <c r="L6" s="38">
        <f t="shared" si="3"/>
        <v>-20</v>
      </c>
      <c r="M6" s="38" t="s">
        <v>2</v>
      </c>
      <c r="N6" s="42" t="s">
        <v>2</v>
      </c>
      <c r="O6" s="38">
        <v>-8</v>
      </c>
      <c r="P6" s="38">
        <v>-9</v>
      </c>
      <c r="Q6" s="38">
        <v>-10</v>
      </c>
      <c r="R6" s="38">
        <v>-11</v>
      </c>
      <c r="S6" s="38">
        <v>-12</v>
      </c>
      <c r="T6" s="38">
        <v>-13</v>
      </c>
      <c r="U6" s="38">
        <v>-14</v>
      </c>
      <c r="V6" s="38">
        <v>-15</v>
      </c>
      <c r="W6" s="38">
        <v>-16</v>
      </c>
      <c r="X6" s="38">
        <v>-17</v>
      </c>
      <c r="Y6" s="38">
        <v>-18</v>
      </c>
      <c r="Z6" s="38">
        <v>-19</v>
      </c>
      <c r="AA6" s="38">
        <v>-20</v>
      </c>
      <c r="AB6" s="40">
        <v>5100</v>
      </c>
      <c r="AC6" s="76">
        <v>60200</v>
      </c>
      <c r="AD6" s="38"/>
      <c r="AE6" s="38"/>
      <c r="AF6" s="38">
        <v>79</v>
      </c>
      <c r="AG6" s="38"/>
      <c r="AH6" s="38">
        <f t="shared" si="4"/>
        <v>79</v>
      </c>
      <c r="AI6" s="38">
        <v>1.5</v>
      </c>
      <c r="AJ6" s="38"/>
      <c r="AK6" s="38" t="s">
        <v>42</v>
      </c>
      <c r="AL6" s="38">
        <v>1450</v>
      </c>
      <c r="AM6" s="41">
        <v>1</v>
      </c>
      <c r="AN6">
        <v>3</v>
      </c>
      <c r="AO6" s="35" t="s">
        <v>163</v>
      </c>
    </row>
    <row r="7" spans="2:44" x14ac:dyDescent="0.2">
      <c r="B7" s="37">
        <v>5</v>
      </c>
      <c r="C7" s="38">
        <v>4</v>
      </c>
      <c r="D7" s="38" t="s">
        <v>46</v>
      </c>
      <c r="E7" s="39" t="str">
        <f t="shared" si="0"/>
        <v>4 - Alpes de haute provence</v>
      </c>
      <c r="F7" s="37">
        <v>5</v>
      </c>
      <c r="G7" s="38" t="s">
        <v>47</v>
      </c>
      <c r="H7" s="38" t="s">
        <v>48</v>
      </c>
      <c r="I7" s="38">
        <v>2</v>
      </c>
      <c r="J7" s="38">
        <f t="shared" si="1"/>
        <v>14</v>
      </c>
      <c r="K7" s="38">
        <f t="shared" si="2"/>
        <v>-8</v>
      </c>
      <c r="L7" s="38">
        <f t="shared" si="3"/>
        <v>-20</v>
      </c>
      <c r="M7" s="38" t="s">
        <v>2</v>
      </c>
      <c r="N7" s="42" t="s">
        <v>2</v>
      </c>
      <c r="O7" s="38">
        <v>-8</v>
      </c>
      <c r="P7" s="38">
        <v>-9</v>
      </c>
      <c r="Q7" s="38">
        <v>-10</v>
      </c>
      <c r="R7" s="38">
        <v>-11</v>
      </c>
      <c r="S7" s="38">
        <v>-12</v>
      </c>
      <c r="T7" s="38">
        <v>-13</v>
      </c>
      <c r="U7" s="38">
        <v>-14</v>
      </c>
      <c r="V7" s="38">
        <v>-15</v>
      </c>
      <c r="W7" s="38">
        <v>-16</v>
      </c>
      <c r="X7" s="38">
        <v>-17</v>
      </c>
      <c r="Y7" s="38">
        <v>-18</v>
      </c>
      <c r="Z7" s="38">
        <v>-19</v>
      </c>
      <c r="AA7" s="38">
        <v>-20</v>
      </c>
      <c r="AB7" s="40">
        <v>4100</v>
      </c>
      <c r="AC7" s="76">
        <v>53100</v>
      </c>
      <c r="AD7" s="38"/>
      <c r="AE7" s="38"/>
      <c r="AF7" s="38">
        <v>132</v>
      </c>
      <c r="AG7" s="38"/>
      <c r="AH7" s="38">
        <f t="shared" si="4"/>
        <v>132</v>
      </c>
      <c r="AI7" s="38">
        <v>1.5</v>
      </c>
      <c r="AJ7" s="38"/>
      <c r="AK7" s="38" t="s">
        <v>49</v>
      </c>
      <c r="AL7" s="38">
        <v>2200</v>
      </c>
      <c r="AM7" s="41">
        <v>1.2</v>
      </c>
      <c r="AN7">
        <v>4</v>
      </c>
      <c r="AO7" s="35" t="s">
        <v>164</v>
      </c>
    </row>
    <row r="8" spans="2:44" x14ac:dyDescent="0.2">
      <c r="B8" s="37">
        <v>6</v>
      </c>
      <c r="C8" s="38">
        <v>5</v>
      </c>
      <c r="D8" s="38" t="s">
        <v>50</v>
      </c>
      <c r="E8" s="39" t="str">
        <f t="shared" si="0"/>
        <v>5 - Hautes-Alpes</v>
      </c>
      <c r="F8" s="37">
        <v>6</v>
      </c>
      <c r="G8" s="38" t="s">
        <v>40</v>
      </c>
      <c r="H8" s="38" t="s">
        <v>48</v>
      </c>
      <c r="I8" s="38">
        <v>2</v>
      </c>
      <c r="J8" s="38">
        <f t="shared" si="1"/>
        <v>12</v>
      </c>
      <c r="K8" s="38">
        <f t="shared" si="2"/>
        <v>-10</v>
      </c>
      <c r="L8" s="38">
        <f t="shared" si="3"/>
        <v>-20</v>
      </c>
      <c r="M8" s="38" t="s">
        <v>2</v>
      </c>
      <c r="N8" s="42" t="s">
        <v>2</v>
      </c>
      <c r="O8" s="38">
        <v>-10</v>
      </c>
      <c r="P8" s="38">
        <v>-11</v>
      </c>
      <c r="Q8" s="38">
        <v>-12</v>
      </c>
      <c r="R8" s="38">
        <v>-13</v>
      </c>
      <c r="S8" s="38">
        <v>-14</v>
      </c>
      <c r="T8" s="38">
        <v>-15</v>
      </c>
      <c r="U8" s="38">
        <v>-16</v>
      </c>
      <c r="V8" s="38">
        <v>-17</v>
      </c>
      <c r="W8" s="38">
        <v>-18</v>
      </c>
      <c r="X8" s="38">
        <v>-19</v>
      </c>
      <c r="Y8" s="38">
        <v>-20</v>
      </c>
      <c r="Z8" s="38" t="s">
        <v>2</v>
      </c>
      <c r="AA8" s="38" t="s">
        <v>2</v>
      </c>
      <c r="AB8" s="40">
        <v>4200</v>
      </c>
      <c r="AC8" s="76">
        <v>63000</v>
      </c>
      <c r="AD8" s="38" t="s">
        <v>51</v>
      </c>
      <c r="AE8" s="38" t="s">
        <v>52</v>
      </c>
      <c r="AF8" s="38">
        <v>125</v>
      </c>
      <c r="AG8" s="38">
        <v>135</v>
      </c>
      <c r="AH8" s="38">
        <f t="shared" si="4"/>
        <v>130</v>
      </c>
      <c r="AI8" s="38">
        <v>1.5</v>
      </c>
      <c r="AJ8" s="38"/>
      <c r="AK8" s="38" t="s">
        <v>53</v>
      </c>
      <c r="AL8" s="38">
        <v>1800</v>
      </c>
      <c r="AM8" s="41">
        <v>1.3</v>
      </c>
      <c r="AN8">
        <v>5</v>
      </c>
      <c r="AO8" s="35" t="s">
        <v>165</v>
      </c>
    </row>
    <row r="9" spans="2:44" x14ac:dyDescent="0.2">
      <c r="B9" s="37">
        <v>7</v>
      </c>
      <c r="C9" s="38">
        <v>6</v>
      </c>
      <c r="D9" s="38" t="s">
        <v>54</v>
      </c>
      <c r="E9" s="39" t="str">
        <f t="shared" si="0"/>
        <v>6 - Alpes maritimes</v>
      </c>
      <c r="F9" s="37">
        <v>7</v>
      </c>
      <c r="G9" s="38" t="s">
        <v>55</v>
      </c>
      <c r="H9" s="38" t="s">
        <v>48</v>
      </c>
      <c r="I9" s="38">
        <v>0</v>
      </c>
      <c r="J9" s="38">
        <f t="shared" si="1"/>
        <v>14</v>
      </c>
      <c r="K9" s="38">
        <f t="shared" si="2"/>
        <v>0</v>
      </c>
      <c r="L9" s="38">
        <f t="shared" si="3"/>
        <v>-12</v>
      </c>
      <c r="M9" s="38">
        <v>0</v>
      </c>
      <c r="N9" s="42">
        <v>-2</v>
      </c>
      <c r="O9" s="38">
        <v>-5</v>
      </c>
      <c r="P9" s="38">
        <v>-6</v>
      </c>
      <c r="Q9" s="38">
        <v>-7</v>
      </c>
      <c r="R9" s="38">
        <v>-7</v>
      </c>
      <c r="S9" s="38">
        <v>-8</v>
      </c>
      <c r="T9" s="38">
        <v>-8</v>
      </c>
      <c r="U9" s="38">
        <v>-9</v>
      </c>
      <c r="V9" s="38">
        <v>-9</v>
      </c>
      <c r="W9" s="38">
        <v>-10</v>
      </c>
      <c r="X9" s="38">
        <v>-10</v>
      </c>
      <c r="Y9" s="38">
        <v>-11</v>
      </c>
      <c r="Z9" s="38">
        <v>-11</v>
      </c>
      <c r="AA9" s="38">
        <v>-12</v>
      </c>
      <c r="AB9" s="40">
        <v>3900</v>
      </c>
      <c r="AC9" s="76">
        <v>36000</v>
      </c>
      <c r="AD9" s="38"/>
      <c r="AE9" s="38"/>
      <c r="AF9" s="38">
        <v>135</v>
      </c>
      <c r="AG9" s="38"/>
      <c r="AH9" s="38">
        <f t="shared" si="4"/>
        <v>135</v>
      </c>
      <c r="AI9" s="38">
        <v>1.8</v>
      </c>
      <c r="AJ9" s="38">
        <v>5</v>
      </c>
      <c r="AK9" s="38" t="s">
        <v>49</v>
      </c>
      <c r="AL9" s="38">
        <v>2200</v>
      </c>
      <c r="AM9" s="41">
        <v>1.1000000000000001</v>
      </c>
      <c r="AN9">
        <v>6</v>
      </c>
      <c r="AO9" s="35" t="s">
        <v>166</v>
      </c>
    </row>
    <row r="10" spans="2:44" x14ac:dyDescent="0.2">
      <c r="B10" s="37">
        <v>8</v>
      </c>
      <c r="C10" s="38">
        <v>7</v>
      </c>
      <c r="D10" s="38" t="s">
        <v>56</v>
      </c>
      <c r="E10" s="39" t="str">
        <f t="shared" si="0"/>
        <v>7 - Ardèche</v>
      </c>
      <c r="F10" s="37">
        <v>8</v>
      </c>
      <c r="G10" s="38" t="s">
        <v>47</v>
      </c>
      <c r="H10" s="38" t="s">
        <v>48</v>
      </c>
      <c r="I10" s="38">
        <v>2</v>
      </c>
      <c r="J10" s="38">
        <f t="shared" si="1"/>
        <v>10</v>
      </c>
      <c r="K10" s="38">
        <f t="shared" si="2"/>
        <v>-6</v>
      </c>
      <c r="L10" s="38">
        <f t="shared" si="3"/>
        <v>-14</v>
      </c>
      <c r="M10" s="38" t="s">
        <v>2</v>
      </c>
      <c r="N10" s="42" t="s">
        <v>2</v>
      </c>
      <c r="O10" s="38">
        <v>-6</v>
      </c>
      <c r="P10" s="38">
        <v>-7</v>
      </c>
      <c r="Q10" s="38">
        <v>-8</v>
      </c>
      <c r="R10" s="38">
        <v>-9</v>
      </c>
      <c r="S10" s="38">
        <v>-10</v>
      </c>
      <c r="T10" s="38">
        <v>-11</v>
      </c>
      <c r="U10" s="38">
        <v>-12</v>
      </c>
      <c r="V10" s="38">
        <v>-13</v>
      </c>
      <c r="W10" s="38">
        <v>-14</v>
      </c>
      <c r="X10" s="38" t="s">
        <v>2</v>
      </c>
      <c r="Y10" s="38" t="s">
        <v>2</v>
      </c>
      <c r="Z10" s="38" t="s">
        <v>2</v>
      </c>
      <c r="AA10" s="38" t="s">
        <v>2</v>
      </c>
      <c r="AB10" s="40">
        <v>4900</v>
      </c>
      <c r="AC10" s="76">
        <v>55500</v>
      </c>
      <c r="AD10" s="38" t="s">
        <v>57</v>
      </c>
      <c r="AE10" s="38" t="s">
        <v>58</v>
      </c>
      <c r="AF10" s="38">
        <v>95</v>
      </c>
      <c r="AG10" s="38">
        <v>110</v>
      </c>
      <c r="AH10" s="38">
        <f t="shared" si="4"/>
        <v>102.5</v>
      </c>
      <c r="AI10" s="38">
        <v>1.5</v>
      </c>
      <c r="AJ10" s="38"/>
      <c r="AK10" s="38" t="s">
        <v>53</v>
      </c>
      <c r="AL10" s="38">
        <v>1800</v>
      </c>
      <c r="AM10" s="41">
        <v>1</v>
      </c>
      <c r="AN10">
        <v>7</v>
      </c>
      <c r="AO10" s="35" t="s">
        <v>167</v>
      </c>
    </row>
    <row r="11" spans="2:44" x14ac:dyDescent="0.2">
      <c r="B11" s="37">
        <v>9</v>
      </c>
      <c r="C11" s="38">
        <v>8</v>
      </c>
      <c r="D11" s="38" t="s">
        <v>59</v>
      </c>
      <c r="E11" s="39" t="str">
        <f t="shared" si="0"/>
        <v>8 - Ardennes</v>
      </c>
      <c r="F11" s="37">
        <v>9</v>
      </c>
      <c r="G11" s="38" t="s">
        <v>40</v>
      </c>
      <c r="H11" s="38" t="s">
        <v>60</v>
      </c>
      <c r="I11" s="38">
        <v>2</v>
      </c>
      <c r="J11" s="38">
        <f t="shared" si="1"/>
        <v>4</v>
      </c>
      <c r="K11" s="38">
        <f t="shared" si="2"/>
        <v>-10</v>
      </c>
      <c r="L11" s="38">
        <f t="shared" si="3"/>
        <v>-12</v>
      </c>
      <c r="M11" s="38" t="s">
        <v>2</v>
      </c>
      <c r="N11" s="42" t="s">
        <v>2</v>
      </c>
      <c r="O11" s="38">
        <v>-10</v>
      </c>
      <c r="P11" s="38">
        <v>-11</v>
      </c>
      <c r="Q11" s="38">
        <v>-12</v>
      </c>
      <c r="R11" s="38" t="s">
        <v>2</v>
      </c>
      <c r="S11" s="38" t="s">
        <v>2</v>
      </c>
      <c r="T11" s="38" t="s">
        <v>2</v>
      </c>
      <c r="U11" s="38" t="s">
        <v>2</v>
      </c>
      <c r="V11" s="38" t="s">
        <v>2</v>
      </c>
      <c r="W11" s="38" t="s">
        <v>2</v>
      </c>
      <c r="X11" s="38" t="s">
        <v>2</v>
      </c>
      <c r="Y11" s="38" t="s">
        <v>2</v>
      </c>
      <c r="Z11" s="38" t="s">
        <v>2</v>
      </c>
      <c r="AA11" s="38" t="s">
        <v>2</v>
      </c>
      <c r="AB11" s="40">
        <v>5600</v>
      </c>
      <c r="AC11" s="76">
        <v>70500</v>
      </c>
      <c r="AD11" s="38"/>
      <c r="AE11" s="38"/>
      <c r="AF11" s="38">
        <v>71</v>
      </c>
      <c r="AG11" s="38"/>
      <c r="AH11" s="38">
        <f t="shared" si="4"/>
        <v>71</v>
      </c>
      <c r="AI11" s="38"/>
      <c r="AJ11" s="38"/>
      <c r="AK11" s="38" t="s">
        <v>38</v>
      </c>
      <c r="AL11" s="38">
        <v>1250</v>
      </c>
      <c r="AM11" s="41">
        <v>1</v>
      </c>
      <c r="AN11">
        <v>8</v>
      </c>
      <c r="AO11" s="35" t="s">
        <v>168</v>
      </c>
    </row>
    <row r="12" spans="2:44" x14ac:dyDescent="0.2">
      <c r="B12" s="37">
        <v>10</v>
      </c>
      <c r="C12" s="38">
        <v>9</v>
      </c>
      <c r="D12" s="38" t="s">
        <v>61</v>
      </c>
      <c r="E12" s="39" t="str">
        <f t="shared" si="0"/>
        <v>9 - Ariège</v>
      </c>
      <c r="F12" s="37">
        <v>10</v>
      </c>
      <c r="G12" s="38" t="s">
        <v>47</v>
      </c>
      <c r="H12" s="38" t="s">
        <v>41</v>
      </c>
      <c r="I12" s="38">
        <v>2</v>
      </c>
      <c r="J12" s="38">
        <f t="shared" si="1"/>
        <v>14</v>
      </c>
      <c r="K12" s="38">
        <f t="shared" si="2"/>
        <v>-5</v>
      </c>
      <c r="L12" s="38">
        <f t="shared" si="3"/>
        <v>-12</v>
      </c>
      <c r="M12" s="38" t="s">
        <v>2</v>
      </c>
      <c r="N12" s="42" t="s">
        <v>2</v>
      </c>
      <c r="O12" s="38">
        <v>-5</v>
      </c>
      <c r="P12" s="38">
        <v>-6</v>
      </c>
      <c r="Q12" s="38">
        <v>-7</v>
      </c>
      <c r="R12" s="38">
        <v>-7</v>
      </c>
      <c r="S12" s="38">
        <v>-8</v>
      </c>
      <c r="T12" s="38">
        <v>-8</v>
      </c>
      <c r="U12" s="38">
        <v>-9</v>
      </c>
      <c r="V12" s="38">
        <v>-9</v>
      </c>
      <c r="W12" s="38">
        <v>-10</v>
      </c>
      <c r="X12" s="38">
        <v>-10</v>
      </c>
      <c r="Y12" s="38">
        <v>-11</v>
      </c>
      <c r="Z12" s="38">
        <v>-11</v>
      </c>
      <c r="AA12" s="38">
        <v>-12</v>
      </c>
      <c r="AB12" s="40">
        <v>4400</v>
      </c>
      <c r="AC12" s="76">
        <v>54500</v>
      </c>
      <c r="AD12" s="38"/>
      <c r="AE12" s="38"/>
      <c r="AF12" s="38">
        <v>110</v>
      </c>
      <c r="AG12" s="38"/>
      <c r="AH12" s="38">
        <f t="shared" si="4"/>
        <v>110</v>
      </c>
      <c r="AI12" s="38">
        <v>1.5</v>
      </c>
      <c r="AJ12" s="38"/>
      <c r="AK12" s="38" t="s">
        <v>53</v>
      </c>
      <c r="AL12" s="38">
        <v>1800</v>
      </c>
      <c r="AM12" s="41">
        <v>1</v>
      </c>
      <c r="AN12">
        <v>9</v>
      </c>
      <c r="AO12" s="35" t="s">
        <v>169</v>
      </c>
    </row>
    <row r="13" spans="2:44" x14ac:dyDescent="0.2">
      <c r="B13" s="37">
        <v>11</v>
      </c>
      <c r="C13" s="38">
        <v>10</v>
      </c>
      <c r="D13" s="38" t="s">
        <v>62</v>
      </c>
      <c r="E13" s="39" t="str">
        <f t="shared" si="0"/>
        <v>10 - Aube</v>
      </c>
      <c r="F13" s="37">
        <v>11</v>
      </c>
      <c r="G13" s="38" t="s">
        <v>40</v>
      </c>
      <c r="H13" s="38" t="s">
        <v>60</v>
      </c>
      <c r="I13" s="38">
        <v>2</v>
      </c>
      <c r="J13" s="38">
        <f t="shared" si="1"/>
        <v>3</v>
      </c>
      <c r="K13" s="38">
        <f t="shared" si="2"/>
        <v>-10</v>
      </c>
      <c r="L13" s="38">
        <f t="shared" si="3"/>
        <v>-11</v>
      </c>
      <c r="M13" s="38" t="s">
        <v>2</v>
      </c>
      <c r="N13" s="42" t="s">
        <v>2</v>
      </c>
      <c r="O13" s="38">
        <v>-10</v>
      </c>
      <c r="P13" s="38">
        <v>-11</v>
      </c>
      <c r="Q13" s="38" t="s">
        <v>2</v>
      </c>
      <c r="R13" s="38" t="s">
        <v>2</v>
      </c>
      <c r="S13" s="38" t="s">
        <v>2</v>
      </c>
      <c r="T13" s="38" t="s">
        <v>2</v>
      </c>
      <c r="U13" s="38" t="s">
        <v>2</v>
      </c>
      <c r="V13" s="38" t="s">
        <v>2</v>
      </c>
      <c r="W13" s="38" t="s">
        <v>2</v>
      </c>
      <c r="X13" s="38" t="s">
        <v>2</v>
      </c>
      <c r="Y13" s="38" t="s">
        <v>2</v>
      </c>
      <c r="Z13" s="38" t="s">
        <v>2</v>
      </c>
      <c r="AA13" s="38" t="s">
        <v>2</v>
      </c>
      <c r="AB13" s="40">
        <v>5500</v>
      </c>
      <c r="AC13" s="76">
        <v>62900</v>
      </c>
      <c r="AD13" s="38"/>
      <c r="AE13" s="38"/>
      <c r="AF13" s="38">
        <v>74</v>
      </c>
      <c r="AG13" s="38"/>
      <c r="AH13" s="38">
        <f t="shared" si="4"/>
        <v>74</v>
      </c>
      <c r="AI13" s="38"/>
      <c r="AJ13" s="38"/>
      <c r="AK13" s="38" t="s">
        <v>38</v>
      </c>
      <c r="AL13" s="38">
        <v>1250</v>
      </c>
      <c r="AM13" s="41">
        <v>1</v>
      </c>
      <c r="AN13">
        <v>10</v>
      </c>
      <c r="AO13" s="35" t="s">
        <v>170</v>
      </c>
    </row>
    <row r="14" spans="2:44" x14ac:dyDescent="0.2">
      <c r="B14" s="37">
        <v>12</v>
      </c>
      <c r="C14" s="38">
        <v>11</v>
      </c>
      <c r="D14" s="38" t="s">
        <v>63</v>
      </c>
      <c r="E14" s="39" t="str">
        <f t="shared" si="0"/>
        <v>11 - Aude</v>
      </c>
      <c r="F14" s="37">
        <v>12</v>
      </c>
      <c r="G14" s="38" t="s">
        <v>55</v>
      </c>
      <c r="H14" s="38" t="s">
        <v>48</v>
      </c>
      <c r="I14" s="38">
        <v>0</v>
      </c>
      <c r="J14" s="38">
        <f t="shared" si="1"/>
        <v>14</v>
      </c>
      <c r="K14" s="38">
        <f t="shared" si="2"/>
        <v>-2</v>
      </c>
      <c r="L14" s="38">
        <f t="shared" si="3"/>
        <v>-12</v>
      </c>
      <c r="M14" s="38">
        <v>-2</v>
      </c>
      <c r="N14" s="42">
        <v>-4</v>
      </c>
      <c r="O14" s="38">
        <v>-5</v>
      </c>
      <c r="P14" s="38">
        <v>-6</v>
      </c>
      <c r="Q14" s="38">
        <v>-7</v>
      </c>
      <c r="R14" s="38">
        <v>-7</v>
      </c>
      <c r="S14" s="38">
        <v>-8</v>
      </c>
      <c r="T14" s="38">
        <v>-8</v>
      </c>
      <c r="U14" s="38">
        <v>-9</v>
      </c>
      <c r="V14" s="38">
        <v>-9</v>
      </c>
      <c r="W14" s="38">
        <v>-10</v>
      </c>
      <c r="X14" s="38">
        <v>-10</v>
      </c>
      <c r="Y14" s="38">
        <v>-11</v>
      </c>
      <c r="Z14" s="38">
        <v>-11</v>
      </c>
      <c r="AA14" s="38">
        <v>-12</v>
      </c>
      <c r="AB14" s="40">
        <v>4000</v>
      </c>
      <c r="AC14" s="76">
        <v>46300</v>
      </c>
      <c r="AD14" s="38" t="s">
        <v>64</v>
      </c>
      <c r="AE14" s="43" t="s">
        <v>65</v>
      </c>
      <c r="AF14" s="38">
        <v>101</v>
      </c>
      <c r="AG14" s="38">
        <v>127</v>
      </c>
      <c r="AH14" s="38">
        <f t="shared" si="4"/>
        <v>114</v>
      </c>
      <c r="AI14" s="38">
        <v>1.8</v>
      </c>
      <c r="AJ14" s="38">
        <v>5</v>
      </c>
      <c r="AK14" s="38" t="s">
        <v>49</v>
      </c>
      <c r="AL14" s="38">
        <v>2200</v>
      </c>
      <c r="AM14" s="41">
        <v>1</v>
      </c>
      <c r="AN14">
        <v>11</v>
      </c>
      <c r="AO14" s="35" t="s">
        <v>171</v>
      </c>
    </row>
    <row r="15" spans="2:44" x14ac:dyDescent="0.2">
      <c r="B15" s="37">
        <v>13</v>
      </c>
      <c r="C15" s="38">
        <v>12</v>
      </c>
      <c r="D15" s="38" t="s">
        <v>66</v>
      </c>
      <c r="E15" s="39" t="str">
        <f t="shared" si="0"/>
        <v>12 - Aveyron</v>
      </c>
      <c r="F15" s="37">
        <v>13</v>
      </c>
      <c r="G15" s="38" t="s">
        <v>47</v>
      </c>
      <c r="H15" s="38" t="s">
        <v>41</v>
      </c>
      <c r="I15" s="38">
        <v>2</v>
      </c>
      <c r="J15" s="38">
        <f t="shared" si="1"/>
        <v>13</v>
      </c>
      <c r="K15" s="38">
        <f t="shared" si="2"/>
        <v>-8</v>
      </c>
      <c r="L15" s="38">
        <f t="shared" si="3"/>
        <v>-19</v>
      </c>
      <c r="M15" s="38" t="s">
        <v>2</v>
      </c>
      <c r="N15" s="42" t="s">
        <v>2</v>
      </c>
      <c r="O15" s="38">
        <v>-8</v>
      </c>
      <c r="P15" s="38">
        <v>-9</v>
      </c>
      <c r="Q15" s="38">
        <v>-10</v>
      </c>
      <c r="R15" s="38">
        <v>-11</v>
      </c>
      <c r="S15" s="38">
        <v>-12</v>
      </c>
      <c r="T15" s="38">
        <v>-13</v>
      </c>
      <c r="U15" s="38">
        <v>-14</v>
      </c>
      <c r="V15" s="38">
        <v>-15</v>
      </c>
      <c r="W15" s="38">
        <v>-16</v>
      </c>
      <c r="X15" s="38">
        <v>-17</v>
      </c>
      <c r="Y15" s="38">
        <v>-18</v>
      </c>
      <c r="Z15" s="38">
        <v>-19</v>
      </c>
      <c r="AA15" s="38" t="s">
        <v>2</v>
      </c>
      <c r="AB15" s="40">
        <v>4400</v>
      </c>
      <c r="AC15" s="76">
        <v>52100</v>
      </c>
      <c r="AD15" s="38" t="s">
        <v>57</v>
      </c>
      <c r="AE15" s="38" t="s">
        <v>58</v>
      </c>
      <c r="AF15" s="38">
        <v>90</v>
      </c>
      <c r="AG15" s="38">
        <v>103</v>
      </c>
      <c r="AH15" s="38">
        <f t="shared" si="4"/>
        <v>96.5</v>
      </c>
      <c r="AI15" s="38">
        <v>1.5</v>
      </c>
      <c r="AJ15" s="38"/>
      <c r="AK15" s="38" t="s">
        <v>53</v>
      </c>
      <c r="AL15" s="38">
        <v>1800</v>
      </c>
      <c r="AM15" s="41">
        <v>1</v>
      </c>
      <c r="AN15">
        <v>12</v>
      </c>
      <c r="AO15" s="35" t="s">
        <v>172</v>
      </c>
    </row>
    <row r="16" spans="2:44" x14ac:dyDescent="0.2">
      <c r="B16" s="37">
        <v>14</v>
      </c>
      <c r="C16" s="38">
        <v>13</v>
      </c>
      <c r="D16" s="38" t="s">
        <v>67</v>
      </c>
      <c r="E16" s="39" t="str">
        <f t="shared" si="0"/>
        <v>13 - Bouches-du-Rhône</v>
      </c>
      <c r="F16" s="37">
        <v>14</v>
      </c>
      <c r="G16" s="38" t="s">
        <v>55</v>
      </c>
      <c r="H16" s="38" t="s">
        <v>48</v>
      </c>
      <c r="I16" s="38">
        <v>0</v>
      </c>
      <c r="J16" s="38">
        <f t="shared" si="1"/>
        <v>14</v>
      </c>
      <c r="K16" s="38">
        <f t="shared" si="2"/>
        <v>-3</v>
      </c>
      <c r="L16" s="38">
        <f t="shared" si="3"/>
        <v>-12</v>
      </c>
      <c r="M16" s="38">
        <v>-3</v>
      </c>
      <c r="N16" s="42">
        <v>-5</v>
      </c>
      <c r="O16" s="38">
        <v>-5</v>
      </c>
      <c r="P16" s="38">
        <v>-6</v>
      </c>
      <c r="Q16" s="38">
        <v>-7</v>
      </c>
      <c r="R16" s="38">
        <v>-7</v>
      </c>
      <c r="S16" s="38">
        <v>-8</v>
      </c>
      <c r="T16" s="38">
        <v>-8</v>
      </c>
      <c r="U16" s="38">
        <v>-9</v>
      </c>
      <c r="V16" s="38">
        <v>-9</v>
      </c>
      <c r="W16" s="38">
        <v>-10</v>
      </c>
      <c r="X16" s="38">
        <v>-10</v>
      </c>
      <c r="Y16" s="38">
        <v>-11</v>
      </c>
      <c r="Z16" s="38">
        <v>-11</v>
      </c>
      <c r="AA16" s="38">
        <v>-12</v>
      </c>
      <c r="AB16" s="40">
        <v>4000</v>
      </c>
      <c r="AC16" s="76">
        <v>36000</v>
      </c>
      <c r="AD16" s="38"/>
      <c r="AE16" s="38"/>
      <c r="AF16" s="38">
        <v>132</v>
      </c>
      <c r="AG16" s="38"/>
      <c r="AH16" s="38">
        <f t="shared" si="4"/>
        <v>132</v>
      </c>
      <c r="AI16" s="38">
        <v>1.8</v>
      </c>
      <c r="AJ16" s="38">
        <v>5</v>
      </c>
      <c r="AK16" s="38" t="s">
        <v>49</v>
      </c>
      <c r="AL16" s="38">
        <v>2200</v>
      </c>
      <c r="AM16" s="41">
        <v>1</v>
      </c>
      <c r="AN16">
        <v>13</v>
      </c>
      <c r="AO16" s="45" t="s">
        <v>173</v>
      </c>
    </row>
    <row r="17" spans="2:39" x14ac:dyDescent="0.2">
      <c r="B17" s="37">
        <v>15</v>
      </c>
      <c r="C17" s="38">
        <v>14</v>
      </c>
      <c r="D17" s="38" t="s">
        <v>68</v>
      </c>
      <c r="E17" s="39" t="str">
        <f t="shared" si="0"/>
        <v>14 - Calvados</v>
      </c>
      <c r="F17" s="37">
        <v>15</v>
      </c>
      <c r="G17" s="38" t="s">
        <v>40</v>
      </c>
      <c r="H17" s="38" t="s">
        <v>44</v>
      </c>
      <c r="I17" s="38">
        <v>0</v>
      </c>
      <c r="J17" s="38">
        <f t="shared" si="1"/>
        <v>3</v>
      </c>
      <c r="K17" s="38">
        <f t="shared" si="2"/>
        <v>-5</v>
      </c>
      <c r="L17" s="38">
        <f t="shared" si="3"/>
        <v>-8</v>
      </c>
      <c r="M17" s="38">
        <v>-5</v>
      </c>
      <c r="N17" s="42">
        <v>-7</v>
      </c>
      <c r="O17" s="38">
        <v>-7</v>
      </c>
      <c r="P17" s="38">
        <v>-8</v>
      </c>
      <c r="Q17" s="38" t="s">
        <v>2</v>
      </c>
      <c r="R17" s="38" t="s">
        <v>2</v>
      </c>
      <c r="S17" s="38" t="s">
        <v>2</v>
      </c>
      <c r="T17" s="38" t="s">
        <v>2</v>
      </c>
      <c r="U17" s="38" t="s">
        <v>2</v>
      </c>
      <c r="V17" s="38" t="s">
        <v>2</v>
      </c>
      <c r="W17" s="38" t="s">
        <v>2</v>
      </c>
      <c r="X17" s="38" t="s">
        <v>2</v>
      </c>
      <c r="Y17" s="38" t="s">
        <v>2</v>
      </c>
      <c r="Z17" s="38" t="s">
        <v>2</v>
      </c>
      <c r="AA17" s="38" t="s">
        <v>2</v>
      </c>
      <c r="AB17" s="40">
        <v>5700</v>
      </c>
      <c r="AC17" s="76">
        <v>57900</v>
      </c>
      <c r="AD17" s="38"/>
      <c r="AE17" s="38"/>
      <c r="AF17" s="38">
        <v>79</v>
      </c>
      <c r="AG17" s="38"/>
      <c r="AH17" s="38">
        <f t="shared" si="4"/>
        <v>79</v>
      </c>
      <c r="AI17" s="38"/>
      <c r="AJ17" s="38">
        <v>5</v>
      </c>
      <c r="AK17" s="38" t="s">
        <v>38</v>
      </c>
      <c r="AL17" s="38">
        <v>1250</v>
      </c>
      <c r="AM17" s="41">
        <v>1</v>
      </c>
    </row>
    <row r="18" spans="2:39" x14ac:dyDescent="0.2">
      <c r="B18" s="37">
        <v>16</v>
      </c>
      <c r="C18" s="38">
        <v>15</v>
      </c>
      <c r="D18" s="38" t="s">
        <v>69</v>
      </c>
      <c r="E18" s="39" t="str">
        <f t="shared" si="0"/>
        <v>15 - Cantal</v>
      </c>
      <c r="F18" s="37">
        <v>16</v>
      </c>
      <c r="G18" s="38" t="s">
        <v>40</v>
      </c>
      <c r="H18" s="38" t="s">
        <v>41</v>
      </c>
      <c r="I18" s="38">
        <v>0</v>
      </c>
      <c r="J18" s="38">
        <f t="shared" si="1"/>
        <v>13</v>
      </c>
      <c r="K18" s="38">
        <f t="shared" si="2"/>
        <v>-8</v>
      </c>
      <c r="L18" s="38">
        <f t="shared" si="3"/>
        <v>-19</v>
      </c>
      <c r="M18" s="38" t="s">
        <v>2</v>
      </c>
      <c r="N18" s="42" t="s">
        <v>2</v>
      </c>
      <c r="O18" s="38">
        <v>-8</v>
      </c>
      <c r="P18" s="38">
        <v>-9</v>
      </c>
      <c r="Q18" s="38">
        <v>-10</v>
      </c>
      <c r="R18" s="38">
        <v>-11</v>
      </c>
      <c r="S18" s="38">
        <v>-12</v>
      </c>
      <c r="T18" s="38">
        <v>-13</v>
      </c>
      <c r="U18" s="38">
        <v>-14</v>
      </c>
      <c r="V18" s="38">
        <v>-15</v>
      </c>
      <c r="W18" s="38">
        <v>-16</v>
      </c>
      <c r="X18" s="38">
        <v>-17</v>
      </c>
      <c r="Y18" s="38">
        <v>-18</v>
      </c>
      <c r="Z18" s="38">
        <v>-19</v>
      </c>
      <c r="AA18" s="38" t="s">
        <v>2</v>
      </c>
      <c r="AB18" s="40">
        <v>5000</v>
      </c>
      <c r="AC18" s="76">
        <v>57600</v>
      </c>
      <c r="AD18" s="38"/>
      <c r="AE18" s="38"/>
      <c r="AF18" s="38">
        <v>87</v>
      </c>
      <c r="AG18" s="38"/>
      <c r="AH18" s="38">
        <f t="shared" si="4"/>
        <v>87</v>
      </c>
      <c r="AI18" s="38">
        <v>1.5</v>
      </c>
      <c r="AJ18" s="38"/>
      <c r="AK18" s="38" t="s">
        <v>42</v>
      </c>
      <c r="AL18" s="38">
        <v>1450</v>
      </c>
      <c r="AM18" s="41">
        <v>1.1000000000000001</v>
      </c>
    </row>
    <row r="19" spans="2:39" x14ac:dyDescent="0.2">
      <c r="B19" s="37">
        <v>17</v>
      </c>
      <c r="C19" s="38">
        <v>16</v>
      </c>
      <c r="D19" s="38" t="s">
        <v>70</v>
      </c>
      <c r="E19" s="39" t="str">
        <f t="shared" si="0"/>
        <v>16 - Charente</v>
      </c>
      <c r="F19" s="37">
        <v>17</v>
      </c>
      <c r="G19" s="38" t="s">
        <v>47</v>
      </c>
      <c r="H19" s="38" t="s">
        <v>41</v>
      </c>
      <c r="I19" s="38">
        <v>0</v>
      </c>
      <c r="J19" s="38">
        <f t="shared" si="1"/>
        <v>3</v>
      </c>
      <c r="K19" s="38">
        <f t="shared" si="2"/>
        <v>-5</v>
      </c>
      <c r="L19" s="38">
        <f t="shared" si="3"/>
        <v>-6</v>
      </c>
      <c r="M19" s="38" t="s">
        <v>2</v>
      </c>
      <c r="N19" s="42" t="s">
        <v>2</v>
      </c>
      <c r="O19" s="38">
        <v>-5</v>
      </c>
      <c r="P19" s="38">
        <v>-6</v>
      </c>
      <c r="Q19" s="38" t="s">
        <v>2</v>
      </c>
      <c r="R19" s="38" t="s">
        <v>2</v>
      </c>
      <c r="S19" s="38" t="s">
        <v>2</v>
      </c>
      <c r="T19" s="38" t="s">
        <v>2</v>
      </c>
      <c r="U19" s="38" t="s">
        <v>2</v>
      </c>
      <c r="V19" s="38" t="s">
        <v>2</v>
      </c>
      <c r="W19" s="38" t="s">
        <v>2</v>
      </c>
      <c r="X19" s="38" t="s">
        <v>2</v>
      </c>
      <c r="Y19" s="38" t="s">
        <v>2</v>
      </c>
      <c r="Z19" s="38" t="s">
        <v>2</v>
      </c>
      <c r="AA19" s="38" t="s">
        <v>2</v>
      </c>
      <c r="AB19" s="40">
        <v>5000</v>
      </c>
      <c r="AC19" s="76">
        <v>49800</v>
      </c>
      <c r="AD19" s="38"/>
      <c r="AE19" s="38"/>
      <c r="AF19" s="38">
        <v>87</v>
      </c>
      <c r="AG19" s="38"/>
      <c r="AH19" s="38">
        <f t="shared" si="4"/>
        <v>87</v>
      </c>
      <c r="AI19" s="38"/>
      <c r="AJ19" s="38"/>
      <c r="AK19" s="38" t="s">
        <v>42</v>
      </c>
      <c r="AL19" s="38">
        <v>1450</v>
      </c>
      <c r="AM19" s="41">
        <v>1</v>
      </c>
    </row>
    <row r="20" spans="2:39" x14ac:dyDescent="0.2">
      <c r="B20" s="37">
        <v>18</v>
      </c>
      <c r="C20" s="38">
        <v>17</v>
      </c>
      <c r="D20" s="38" t="s">
        <v>71</v>
      </c>
      <c r="E20" s="39" t="str">
        <f t="shared" si="0"/>
        <v>17 - Charente-Maritime</v>
      </c>
      <c r="F20" s="37">
        <v>18</v>
      </c>
      <c r="G20" s="38" t="s">
        <v>47</v>
      </c>
      <c r="H20" s="38" t="s">
        <v>41</v>
      </c>
      <c r="I20" s="38">
        <v>2</v>
      </c>
      <c r="J20" s="38">
        <f t="shared" si="1"/>
        <v>2</v>
      </c>
      <c r="K20" s="38">
        <f t="shared" si="2"/>
        <v>-2</v>
      </c>
      <c r="L20" s="38">
        <f t="shared" si="3"/>
        <v>-5</v>
      </c>
      <c r="M20" s="38">
        <v>-2</v>
      </c>
      <c r="N20" s="42">
        <v>-4</v>
      </c>
      <c r="O20" s="38">
        <v>-5</v>
      </c>
      <c r="P20" s="38" t="s">
        <v>2</v>
      </c>
      <c r="Q20" s="38" t="s">
        <v>2</v>
      </c>
      <c r="R20" s="38" t="s">
        <v>2</v>
      </c>
      <c r="S20" s="38" t="s">
        <v>2</v>
      </c>
      <c r="T20" s="38" t="s">
        <v>2</v>
      </c>
      <c r="U20" s="38" t="s">
        <v>2</v>
      </c>
      <c r="V20" s="38" t="s">
        <v>2</v>
      </c>
      <c r="W20" s="38" t="s">
        <v>2</v>
      </c>
      <c r="X20" s="38" t="s">
        <v>2</v>
      </c>
      <c r="Y20" s="38" t="s">
        <v>2</v>
      </c>
      <c r="Z20" s="38" t="s">
        <v>2</v>
      </c>
      <c r="AA20" s="38" t="s">
        <v>2</v>
      </c>
      <c r="AB20" s="40">
        <v>5000</v>
      </c>
      <c r="AC20" s="76">
        <v>44300</v>
      </c>
      <c r="AD20" s="38"/>
      <c r="AE20" s="38"/>
      <c r="AF20" s="38">
        <v>88</v>
      </c>
      <c r="AG20" s="38"/>
      <c r="AH20" s="38">
        <f t="shared" si="4"/>
        <v>88</v>
      </c>
      <c r="AI20" s="38"/>
      <c r="AJ20" s="38">
        <v>5</v>
      </c>
      <c r="AK20" s="38" t="s">
        <v>53</v>
      </c>
      <c r="AL20" s="38">
        <v>1800</v>
      </c>
      <c r="AM20" s="41">
        <v>1.1000000000000001</v>
      </c>
    </row>
    <row r="21" spans="2:39" x14ac:dyDescent="0.2">
      <c r="B21" s="37">
        <v>19</v>
      </c>
      <c r="C21" s="38">
        <v>18</v>
      </c>
      <c r="D21" s="38" t="s">
        <v>72</v>
      </c>
      <c r="E21" s="39" t="str">
        <f t="shared" si="0"/>
        <v>18 - Cher</v>
      </c>
      <c r="F21" s="37">
        <v>19</v>
      </c>
      <c r="G21" s="38" t="s">
        <v>47</v>
      </c>
      <c r="H21" s="38" t="s">
        <v>60</v>
      </c>
      <c r="I21" s="38">
        <v>0</v>
      </c>
      <c r="J21" s="38">
        <f t="shared" si="1"/>
        <v>4</v>
      </c>
      <c r="K21" s="38">
        <f t="shared" si="2"/>
        <v>-7</v>
      </c>
      <c r="L21" s="38">
        <f t="shared" si="3"/>
        <v>-9</v>
      </c>
      <c r="M21" s="38" t="s">
        <v>2</v>
      </c>
      <c r="N21" s="42" t="s">
        <v>2</v>
      </c>
      <c r="O21" s="38">
        <v>-7</v>
      </c>
      <c r="P21" s="38">
        <v>-8</v>
      </c>
      <c r="Q21" s="38">
        <v>-9</v>
      </c>
      <c r="R21" s="38" t="s">
        <v>2</v>
      </c>
      <c r="S21" s="38" t="s">
        <v>2</v>
      </c>
      <c r="T21" s="38" t="s">
        <v>2</v>
      </c>
      <c r="U21" s="38" t="s">
        <v>2</v>
      </c>
      <c r="V21" s="38" t="s">
        <v>2</v>
      </c>
      <c r="W21" s="38" t="s">
        <v>2</v>
      </c>
      <c r="X21" s="38" t="s">
        <v>2</v>
      </c>
      <c r="Y21" s="38" t="s">
        <v>2</v>
      </c>
      <c r="Z21" s="38" t="s">
        <v>2</v>
      </c>
      <c r="AA21" s="38" t="s">
        <v>2</v>
      </c>
      <c r="AB21" s="40">
        <v>5300</v>
      </c>
      <c r="AC21" s="76">
        <v>58000</v>
      </c>
      <c r="AD21" s="38"/>
      <c r="AE21" s="38"/>
      <c r="AF21" s="38">
        <v>79</v>
      </c>
      <c r="AG21" s="38"/>
      <c r="AH21" s="38">
        <f t="shared" si="4"/>
        <v>79</v>
      </c>
      <c r="AI21" s="38"/>
      <c r="AJ21" s="38"/>
      <c r="AK21" s="38" t="s">
        <v>42</v>
      </c>
      <c r="AL21" s="38">
        <v>1450</v>
      </c>
      <c r="AM21" s="41">
        <v>1</v>
      </c>
    </row>
    <row r="22" spans="2:39" x14ac:dyDescent="0.2">
      <c r="B22" s="37">
        <v>20</v>
      </c>
      <c r="C22" s="38">
        <v>19</v>
      </c>
      <c r="D22" s="38" t="s">
        <v>73</v>
      </c>
      <c r="E22" s="39" t="str">
        <f t="shared" si="0"/>
        <v>19 - Corrèze</v>
      </c>
      <c r="F22" s="37">
        <v>20</v>
      </c>
      <c r="G22" s="38" t="s">
        <v>40</v>
      </c>
      <c r="H22" s="38" t="s">
        <v>41</v>
      </c>
      <c r="I22" s="38">
        <v>0</v>
      </c>
      <c r="J22" s="38">
        <f t="shared" si="1"/>
        <v>13</v>
      </c>
      <c r="K22" s="38">
        <f t="shared" si="2"/>
        <v>-8</v>
      </c>
      <c r="L22" s="38">
        <f t="shared" si="3"/>
        <v>-19</v>
      </c>
      <c r="M22" s="38" t="s">
        <v>2</v>
      </c>
      <c r="N22" s="42" t="s">
        <v>2</v>
      </c>
      <c r="O22" s="38">
        <v>-8</v>
      </c>
      <c r="P22" s="38">
        <v>-9</v>
      </c>
      <c r="Q22" s="38">
        <v>-10</v>
      </c>
      <c r="R22" s="38">
        <v>-11</v>
      </c>
      <c r="S22" s="38">
        <v>-12</v>
      </c>
      <c r="T22" s="38">
        <v>-13</v>
      </c>
      <c r="U22" s="38">
        <v>-14</v>
      </c>
      <c r="V22" s="38">
        <v>-15</v>
      </c>
      <c r="W22" s="38">
        <v>-16</v>
      </c>
      <c r="X22" s="38">
        <v>-17</v>
      </c>
      <c r="Y22" s="38">
        <v>-18</v>
      </c>
      <c r="Z22" s="38">
        <v>-19</v>
      </c>
      <c r="AA22" s="38" t="s">
        <v>2</v>
      </c>
      <c r="AB22" s="40">
        <v>5000</v>
      </c>
      <c r="AC22" s="76">
        <v>54000</v>
      </c>
      <c r="AD22" s="38"/>
      <c r="AE22" s="38"/>
      <c r="AF22" s="38">
        <v>85</v>
      </c>
      <c r="AG22" s="38"/>
      <c r="AH22" s="38">
        <f t="shared" si="4"/>
        <v>85</v>
      </c>
      <c r="AI22" s="38">
        <v>1.5</v>
      </c>
      <c r="AJ22" s="38"/>
      <c r="AK22" s="38" t="s">
        <v>42</v>
      </c>
      <c r="AL22" s="38">
        <v>1450</v>
      </c>
      <c r="AM22" s="41">
        <v>1.2</v>
      </c>
    </row>
    <row r="23" spans="2:39" x14ac:dyDescent="0.2">
      <c r="B23" s="37">
        <v>21</v>
      </c>
      <c r="C23" s="38" t="s">
        <v>74</v>
      </c>
      <c r="D23" s="38" t="s">
        <v>75</v>
      </c>
      <c r="E23" s="39" t="str">
        <f t="shared" si="0"/>
        <v>2A - Corse-du-Sud</v>
      </c>
      <c r="F23" s="37">
        <v>21</v>
      </c>
      <c r="G23" s="42" t="s">
        <v>55</v>
      </c>
      <c r="H23" s="42" t="s">
        <v>48</v>
      </c>
      <c r="I23" s="38">
        <v>1</v>
      </c>
      <c r="J23" s="38">
        <f t="shared" si="1"/>
        <v>7</v>
      </c>
      <c r="K23" s="38">
        <f t="shared" si="2"/>
        <v>-2</v>
      </c>
      <c r="L23" s="38">
        <f t="shared" si="3"/>
        <v>-6</v>
      </c>
      <c r="M23" s="38" t="s">
        <v>2</v>
      </c>
      <c r="N23" s="42">
        <v>-2</v>
      </c>
      <c r="O23" s="38">
        <v>-2</v>
      </c>
      <c r="P23" s="38">
        <v>-3</v>
      </c>
      <c r="Q23" s="38">
        <v>-4</v>
      </c>
      <c r="R23" s="38">
        <v>-4</v>
      </c>
      <c r="S23" s="38">
        <v>-5</v>
      </c>
      <c r="T23" s="38">
        <v>-6</v>
      </c>
      <c r="U23" s="42">
        <v>-6</v>
      </c>
      <c r="V23" s="42">
        <v>-6</v>
      </c>
      <c r="W23" s="42">
        <v>-6</v>
      </c>
      <c r="X23" s="42">
        <v>-6</v>
      </c>
      <c r="Y23" s="42">
        <v>-6</v>
      </c>
      <c r="Z23" s="42">
        <v>-6</v>
      </c>
      <c r="AA23" s="42">
        <v>-6</v>
      </c>
      <c r="AB23" s="44">
        <v>4200</v>
      </c>
      <c r="AC23" s="77">
        <v>34000</v>
      </c>
      <c r="AD23" s="42"/>
      <c r="AE23" s="42"/>
      <c r="AF23" s="42">
        <v>126</v>
      </c>
      <c r="AG23" s="42"/>
      <c r="AH23" s="38">
        <f t="shared" si="4"/>
        <v>126</v>
      </c>
      <c r="AI23" s="42">
        <v>1.8</v>
      </c>
      <c r="AJ23" s="42">
        <v>5</v>
      </c>
      <c r="AK23" s="42" t="s">
        <v>49</v>
      </c>
      <c r="AL23" s="38">
        <v>2200</v>
      </c>
      <c r="AM23" s="41">
        <v>1.1000000000000001</v>
      </c>
    </row>
    <row r="24" spans="2:39" x14ac:dyDescent="0.2">
      <c r="B24" s="37">
        <v>22</v>
      </c>
      <c r="C24" s="38" t="s">
        <v>76</v>
      </c>
      <c r="D24" s="38" t="s">
        <v>77</v>
      </c>
      <c r="E24" s="39" t="str">
        <f t="shared" si="0"/>
        <v>2B - Haute-Corse</v>
      </c>
      <c r="F24" s="37">
        <v>22</v>
      </c>
      <c r="G24" s="42" t="s">
        <v>55</v>
      </c>
      <c r="H24" s="42" t="s">
        <v>48</v>
      </c>
      <c r="I24" s="38">
        <v>1</v>
      </c>
      <c r="J24" s="38">
        <f t="shared" si="1"/>
        <v>7</v>
      </c>
      <c r="K24" s="38">
        <f t="shared" si="2"/>
        <v>-2</v>
      </c>
      <c r="L24" s="38">
        <f t="shared" si="3"/>
        <v>-6</v>
      </c>
      <c r="M24" s="38" t="s">
        <v>2</v>
      </c>
      <c r="N24" s="42">
        <v>-2</v>
      </c>
      <c r="O24" s="38">
        <v>-2</v>
      </c>
      <c r="P24" s="38">
        <v>-3</v>
      </c>
      <c r="Q24" s="38">
        <v>-4</v>
      </c>
      <c r="R24" s="38">
        <v>-4</v>
      </c>
      <c r="S24" s="38">
        <v>-5</v>
      </c>
      <c r="T24" s="38">
        <v>-6</v>
      </c>
      <c r="U24" s="42">
        <v>-6</v>
      </c>
      <c r="V24" s="42">
        <v>-6</v>
      </c>
      <c r="W24" s="42">
        <v>-6</v>
      </c>
      <c r="X24" s="42">
        <v>-6</v>
      </c>
      <c r="Y24" s="42">
        <v>-6</v>
      </c>
      <c r="Z24" s="42">
        <v>-6</v>
      </c>
      <c r="AA24" s="42">
        <v>-6</v>
      </c>
      <c r="AB24" s="44">
        <v>4000</v>
      </c>
      <c r="AC24" s="77">
        <v>32000</v>
      </c>
      <c r="AD24" s="42"/>
      <c r="AE24" s="42"/>
      <c r="AF24" s="42">
        <v>126</v>
      </c>
      <c r="AG24" s="42"/>
      <c r="AH24" s="38">
        <f t="shared" si="4"/>
        <v>126</v>
      </c>
      <c r="AI24" s="42">
        <v>1.8</v>
      </c>
      <c r="AJ24" s="42">
        <v>5</v>
      </c>
      <c r="AK24" s="42" t="s">
        <v>49</v>
      </c>
      <c r="AL24" s="38">
        <v>2200</v>
      </c>
      <c r="AM24" s="41">
        <v>1.1000000000000001</v>
      </c>
    </row>
    <row r="25" spans="2:39" x14ac:dyDescent="0.2">
      <c r="B25" s="37">
        <v>23</v>
      </c>
      <c r="C25" s="38">
        <v>21</v>
      </c>
      <c r="D25" s="38" t="s">
        <v>78</v>
      </c>
      <c r="E25" s="39" t="str">
        <f t="shared" si="0"/>
        <v>21 - Côte-d'Or</v>
      </c>
      <c r="F25" s="37">
        <v>23</v>
      </c>
      <c r="G25" s="38" t="s">
        <v>40</v>
      </c>
      <c r="H25" s="38" t="s">
        <v>41</v>
      </c>
      <c r="I25" s="38">
        <v>2</v>
      </c>
      <c r="J25" s="38">
        <f t="shared" si="1"/>
        <v>6</v>
      </c>
      <c r="K25" s="38">
        <f t="shared" si="2"/>
        <v>-10</v>
      </c>
      <c r="L25" s="38">
        <f t="shared" si="3"/>
        <v>-14</v>
      </c>
      <c r="M25" s="38" t="s">
        <v>2</v>
      </c>
      <c r="N25" s="42" t="s">
        <v>2</v>
      </c>
      <c r="O25" s="38">
        <v>-10</v>
      </c>
      <c r="P25" s="38">
        <v>-11</v>
      </c>
      <c r="Q25" s="38">
        <v>-12</v>
      </c>
      <c r="R25" s="38">
        <v>-13</v>
      </c>
      <c r="S25" s="38">
        <v>-14</v>
      </c>
      <c r="T25" s="38" t="s">
        <v>2</v>
      </c>
      <c r="U25" s="38" t="s">
        <v>2</v>
      </c>
      <c r="V25" s="38" t="s">
        <v>2</v>
      </c>
      <c r="W25" s="38" t="s">
        <v>2</v>
      </c>
      <c r="X25" s="38" t="s">
        <v>2</v>
      </c>
      <c r="Y25" s="38" t="s">
        <v>2</v>
      </c>
      <c r="Z25" s="38" t="s">
        <v>2</v>
      </c>
      <c r="AA25" s="38" t="s">
        <v>2</v>
      </c>
      <c r="AB25" s="40">
        <v>4900</v>
      </c>
      <c r="AC25" s="76">
        <v>63000</v>
      </c>
      <c r="AD25" s="38"/>
      <c r="AE25" s="38"/>
      <c r="AF25" s="38">
        <v>73</v>
      </c>
      <c r="AG25" s="38"/>
      <c r="AH25" s="38">
        <f t="shared" si="4"/>
        <v>73</v>
      </c>
      <c r="AI25" s="38">
        <v>1.5</v>
      </c>
      <c r="AJ25" s="38"/>
      <c r="AK25" s="38" t="s">
        <v>42</v>
      </c>
      <c r="AL25" s="38">
        <v>1450</v>
      </c>
      <c r="AM25" s="41">
        <v>1</v>
      </c>
    </row>
    <row r="26" spans="2:39" x14ac:dyDescent="0.2">
      <c r="B26" s="37">
        <v>24</v>
      </c>
      <c r="C26" s="38">
        <v>22</v>
      </c>
      <c r="D26" s="38" t="s">
        <v>79</v>
      </c>
      <c r="E26" s="39" t="str">
        <f t="shared" si="0"/>
        <v>22 - Côtes-d'Armor</v>
      </c>
      <c r="F26" s="37">
        <v>24</v>
      </c>
      <c r="G26" s="38" t="s">
        <v>47</v>
      </c>
      <c r="H26" s="38" t="s">
        <v>44</v>
      </c>
      <c r="I26" s="38">
        <v>0</v>
      </c>
      <c r="J26" s="38">
        <f t="shared" si="1"/>
        <v>3</v>
      </c>
      <c r="K26" s="38">
        <f t="shared" si="2"/>
        <v>-2</v>
      </c>
      <c r="L26" s="38">
        <f t="shared" si="3"/>
        <v>-5</v>
      </c>
      <c r="M26" s="38">
        <v>-2</v>
      </c>
      <c r="N26" s="42">
        <v>-4</v>
      </c>
      <c r="O26" s="38">
        <v>-4</v>
      </c>
      <c r="P26" s="38">
        <v>-5</v>
      </c>
      <c r="Q26" s="38" t="s">
        <v>2</v>
      </c>
      <c r="R26" s="38" t="s">
        <v>2</v>
      </c>
      <c r="S26" s="38" t="s">
        <v>2</v>
      </c>
      <c r="T26" s="38" t="s">
        <v>2</v>
      </c>
      <c r="U26" s="38" t="s">
        <v>2</v>
      </c>
      <c r="V26" s="38" t="s">
        <v>2</v>
      </c>
      <c r="W26" s="38" t="s">
        <v>2</v>
      </c>
      <c r="X26" s="38" t="s">
        <v>2</v>
      </c>
      <c r="Y26" s="38" t="s">
        <v>2</v>
      </c>
      <c r="Z26" s="38" t="s">
        <v>2</v>
      </c>
      <c r="AA26" s="38" t="s">
        <v>2</v>
      </c>
      <c r="AB26" s="40">
        <v>5400</v>
      </c>
      <c r="AC26" s="76">
        <v>48600</v>
      </c>
      <c r="AD26" s="38"/>
      <c r="AE26" s="38"/>
      <c r="AF26" s="38">
        <v>79</v>
      </c>
      <c r="AG26" s="38"/>
      <c r="AH26" s="38">
        <f t="shared" si="4"/>
        <v>79</v>
      </c>
      <c r="AI26" s="38"/>
      <c r="AJ26" s="38">
        <v>5</v>
      </c>
      <c r="AK26" s="38" t="s">
        <v>38</v>
      </c>
      <c r="AL26" s="38">
        <v>1250</v>
      </c>
      <c r="AM26" s="41">
        <v>1</v>
      </c>
    </row>
    <row r="27" spans="2:39" x14ac:dyDescent="0.2">
      <c r="B27" s="37">
        <v>25</v>
      </c>
      <c r="C27" s="38">
        <v>23</v>
      </c>
      <c r="D27" s="38" t="s">
        <v>80</v>
      </c>
      <c r="E27" s="39" t="str">
        <f t="shared" si="0"/>
        <v>23 - Creuse</v>
      </c>
      <c r="F27" s="37">
        <v>25</v>
      </c>
      <c r="G27" s="38" t="s">
        <v>40</v>
      </c>
      <c r="H27" s="38" t="s">
        <v>41</v>
      </c>
      <c r="I27" s="38">
        <v>2</v>
      </c>
      <c r="J27" s="38">
        <f t="shared" si="1"/>
        <v>13</v>
      </c>
      <c r="K27" s="38">
        <f t="shared" si="2"/>
        <v>-8</v>
      </c>
      <c r="L27" s="38">
        <f t="shared" si="3"/>
        <v>-19</v>
      </c>
      <c r="M27" s="38" t="s">
        <v>2</v>
      </c>
      <c r="N27" s="42" t="s">
        <v>2</v>
      </c>
      <c r="O27" s="38">
        <v>-8</v>
      </c>
      <c r="P27" s="38">
        <v>-9</v>
      </c>
      <c r="Q27" s="38">
        <v>-10</v>
      </c>
      <c r="R27" s="38">
        <v>-11</v>
      </c>
      <c r="S27" s="38">
        <v>-12</v>
      </c>
      <c r="T27" s="38">
        <v>-13</v>
      </c>
      <c r="U27" s="38">
        <v>-14</v>
      </c>
      <c r="V27" s="38">
        <v>-15</v>
      </c>
      <c r="W27" s="38">
        <v>-16</v>
      </c>
      <c r="X27" s="38">
        <v>-17</v>
      </c>
      <c r="Y27" s="38">
        <v>-18</v>
      </c>
      <c r="Z27" s="38">
        <v>-19</v>
      </c>
      <c r="AA27" s="38" t="s">
        <v>2</v>
      </c>
      <c r="AB27" s="40">
        <v>5200</v>
      </c>
      <c r="AC27" s="76">
        <v>65000</v>
      </c>
      <c r="AD27" s="38"/>
      <c r="AE27" s="38"/>
      <c r="AF27" s="38">
        <v>84</v>
      </c>
      <c r="AG27" s="38"/>
      <c r="AH27" s="38">
        <f t="shared" si="4"/>
        <v>84</v>
      </c>
      <c r="AI27" s="38">
        <v>1.5</v>
      </c>
      <c r="AJ27" s="38"/>
      <c r="AK27" s="38" t="s">
        <v>42</v>
      </c>
      <c r="AL27" s="38">
        <v>1450</v>
      </c>
      <c r="AM27" s="41">
        <v>1.1000000000000001</v>
      </c>
    </row>
    <row r="28" spans="2:39" x14ac:dyDescent="0.2">
      <c r="B28" s="37">
        <v>26</v>
      </c>
      <c r="C28" s="38">
        <v>24</v>
      </c>
      <c r="D28" s="38" t="s">
        <v>81</v>
      </c>
      <c r="E28" s="39" t="str">
        <f t="shared" si="0"/>
        <v>24 - Dordogne</v>
      </c>
      <c r="F28" s="37">
        <v>26</v>
      </c>
      <c r="G28" s="38" t="s">
        <v>47</v>
      </c>
      <c r="H28" s="38" t="s">
        <v>41</v>
      </c>
      <c r="I28" s="38">
        <v>2</v>
      </c>
      <c r="J28" s="38">
        <f t="shared" si="1"/>
        <v>4</v>
      </c>
      <c r="K28" s="38">
        <f t="shared" si="2"/>
        <v>-5</v>
      </c>
      <c r="L28" s="38">
        <f t="shared" si="3"/>
        <v>-7</v>
      </c>
      <c r="M28" s="38" t="s">
        <v>2</v>
      </c>
      <c r="N28" s="42" t="s">
        <v>2</v>
      </c>
      <c r="O28" s="38">
        <v>-5</v>
      </c>
      <c r="P28" s="38">
        <v>-6</v>
      </c>
      <c r="Q28" s="38">
        <v>-7</v>
      </c>
      <c r="R28" s="38" t="s">
        <v>2</v>
      </c>
      <c r="S28" s="38" t="s">
        <v>2</v>
      </c>
      <c r="T28" s="38" t="s">
        <v>2</v>
      </c>
      <c r="U28" s="38" t="s">
        <v>2</v>
      </c>
      <c r="V28" s="38" t="s">
        <v>2</v>
      </c>
      <c r="W28" s="38" t="s">
        <v>2</v>
      </c>
      <c r="X28" s="38" t="s">
        <v>2</v>
      </c>
      <c r="Y28" s="38" t="s">
        <v>2</v>
      </c>
      <c r="Z28" s="38" t="s">
        <v>2</v>
      </c>
      <c r="AA28" s="38" t="s">
        <v>2</v>
      </c>
      <c r="AB28" s="40">
        <v>5000</v>
      </c>
      <c r="AC28" s="76">
        <v>49900</v>
      </c>
      <c r="AD28" s="38"/>
      <c r="AE28" s="38"/>
      <c r="AF28" s="38">
        <v>87</v>
      </c>
      <c r="AG28" s="38"/>
      <c r="AH28" s="38">
        <f t="shared" si="4"/>
        <v>87</v>
      </c>
      <c r="AI28" s="38"/>
      <c r="AJ28" s="38"/>
      <c r="AK28" s="38" t="s">
        <v>42</v>
      </c>
      <c r="AL28" s="38">
        <v>1450</v>
      </c>
      <c r="AM28" s="41">
        <v>1</v>
      </c>
    </row>
    <row r="29" spans="2:39" x14ac:dyDescent="0.2">
      <c r="B29" s="37">
        <v>27</v>
      </c>
      <c r="C29" s="38">
        <v>25</v>
      </c>
      <c r="D29" s="38" t="s">
        <v>82</v>
      </c>
      <c r="E29" s="39" t="str">
        <f t="shared" si="0"/>
        <v>25 - Doubs</v>
      </c>
      <c r="F29" s="37">
        <v>27</v>
      </c>
      <c r="G29" s="38" t="s">
        <v>40</v>
      </c>
      <c r="H29" s="38" t="s">
        <v>41</v>
      </c>
      <c r="I29" s="38">
        <v>2</v>
      </c>
      <c r="J29" s="38">
        <f t="shared" si="1"/>
        <v>10</v>
      </c>
      <c r="K29" s="38">
        <f t="shared" si="2"/>
        <v>-12</v>
      </c>
      <c r="L29" s="38">
        <f t="shared" si="3"/>
        <v>-20</v>
      </c>
      <c r="M29" s="38" t="s">
        <v>2</v>
      </c>
      <c r="N29" s="42" t="s">
        <v>2</v>
      </c>
      <c r="O29" s="38">
        <v>-12</v>
      </c>
      <c r="P29" s="38">
        <v>-13</v>
      </c>
      <c r="Q29" s="38">
        <v>-14</v>
      </c>
      <c r="R29" s="38">
        <v>-15</v>
      </c>
      <c r="S29" s="38">
        <v>-16</v>
      </c>
      <c r="T29" s="38">
        <v>-17</v>
      </c>
      <c r="U29" s="38">
        <v>-18</v>
      </c>
      <c r="V29" s="38">
        <v>-19</v>
      </c>
      <c r="W29" s="38">
        <v>-20</v>
      </c>
      <c r="X29" s="38" t="s">
        <v>2</v>
      </c>
      <c r="Y29" s="38" t="s">
        <v>2</v>
      </c>
      <c r="Z29" s="38" t="s">
        <v>2</v>
      </c>
      <c r="AA29" s="38" t="s">
        <v>2</v>
      </c>
      <c r="AB29" s="40">
        <v>5000</v>
      </c>
      <c r="AC29" s="76">
        <v>65300</v>
      </c>
      <c r="AD29" s="38"/>
      <c r="AE29" s="38"/>
      <c r="AF29" s="38">
        <v>71</v>
      </c>
      <c r="AG29" s="38"/>
      <c r="AH29" s="38">
        <f t="shared" si="4"/>
        <v>71</v>
      </c>
      <c r="AI29" s="38">
        <v>1.5</v>
      </c>
      <c r="AJ29" s="38"/>
      <c r="AK29" s="38" t="s">
        <v>42</v>
      </c>
      <c r="AL29" s="38">
        <v>1450</v>
      </c>
      <c r="AM29" s="41">
        <v>1</v>
      </c>
    </row>
    <row r="30" spans="2:39" x14ac:dyDescent="0.2">
      <c r="B30" s="37">
        <v>28</v>
      </c>
      <c r="C30" s="38">
        <v>26</v>
      </c>
      <c r="D30" s="38" t="s">
        <v>83</v>
      </c>
      <c r="E30" s="39" t="str">
        <f t="shared" si="0"/>
        <v>26 - Drôme</v>
      </c>
      <c r="F30" s="37">
        <v>28</v>
      </c>
      <c r="G30" s="38" t="s">
        <v>47</v>
      </c>
      <c r="H30" s="38" t="s">
        <v>48</v>
      </c>
      <c r="I30" s="38">
        <v>2</v>
      </c>
      <c r="J30" s="38">
        <f t="shared" si="1"/>
        <v>10</v>
      </c>
      <c r="K30" s="38">
        <f t="shared" si="2"/>
        <v>-6</v>
      </c>
      <c r="L30" s="38">
        <f t="shared" si="3"/>
        <v>-14</v>
      </c>
      <c r="M30" s="38" t="s">
        <v>2</v>
      </c>
      <c r="N30" s="42" t="s">
        <v>2</v>
      </c>
      <c r="O30" s="38">
        <v>-6</v>
      </c>
      <c r="P30" s="38">
        <v>-7</v>
      </c>
      <c r="Q30" s="38">
        <v>-8</v>
      </c>
      <c r="R30" s="38">
        <v>-9</v>
      </c>
      <c r="S30" s="38">
        <v>-10</v>
      </c>
      <c r="T30" s="38">
        <v>-11</v>
      </c>
      <c r="U30" s="38">
        <v>-12</v>
      </c>
      <c r="V30" s="38">
        <v>-13</v>
      </c>
      <c r="W30" s="38">
        <v>-14</v>
      </c>
      <c r="X30" s="38" t="s">
        <v>2</v>
      </c>
      <c r="Y30" s="38" t="s">
        <v>2</v>
      </c>
      <c r="Z30" s="38" t="s">
        <v>2</v>
      </c>
      <c r="AA30" s="38" t="s">
        <v>2</v>
      </c>
      <c r="AB30" s="40">
        <v>4800</v>
      </c>
      <c r="AC30" s="76">
        <v>50900</v>
      </c>
      <c r="AD30" s="38" t="s">
        <v>57</v>
      </c>
      <c r="AE30" s="38" t="s">
        <v>58</v>
      </c>
      <c r="AF30" s="38">
        <v>100</v>
      </c>
      <c r="AG30" s="38">
        <v>120</v>
      </c>
      <c r="AH30" s="38">
        <f t="shared" si="4"/>
        <v>110</v>
      </c>
      <c r="AI30" s="38">
        <v>1.5</v>
      </c>
      <c r="AJ30" s="38"/>
      <c r="AK30" s="38" t="s">
        <v>53</v>
      </c>
      <c r="AL30" s="38">
        <v>1800</v>
      </c>
      <c r="AM30" s="41">
        <v>1</v>
      </c>
    </row>
    <row r="31" spans="2:39" x14ac:dyDescent="0.2">
      <c r="B31" s="37">
        <v>29</v>
      </c>
      <c r="C31" s="38">
        <v>27</v>
      </c>
      <c r="D31" s="38" t="s">
        <v>84</v>
      </c>
      <c r="E31" s="39" t="str">
        <f t="shared" si="0"/>
        <v>27 - Eure</v>
      </c>
      <c r="F31" s="37">
        <v>29</v>
      </c>
      <c r="G31" s="38" t="s">
        <v>40</v>
      </c>
      <c r="H31" s="38" t="s">
        <v>44</v>
      </c>
      <c r="I31" s="38">
        <v>2</v>
      </c>
      <c r="J31" s="38">
        <f t="shared" si="1"/>
        <v>3</v>
      </c>
      <c r="K31" s="38">
        <f t="shared" si="2"/>
        <v>-7</v>
      </c>
      <c r="L31" s="38">
        <f t="shared" si="3"/>
        <v>-8</v>
      </c>
      <c r="M31" s="38" t="s">
        <v>2</v>
      </c>
      <c r="N31" s="42" t="s">
        <v>2</v>
      </c>
      <c r="O31" s="38">
        <v>-7</v>
      </c>
      <c r="P31" s="38">
        <v>-8</v>
      </c>
      <c r="Q31" s="38" t="s">
        <v>2</v>
      </c>
      <c r="R31" s="38" t="s">
        <v>2</v>
      </c>
      <c r="S31" s="38" t="s">
        <v>2</v>
      </c>
      <c r="T31" s="38" t="s">
        <v>2</v>
      </c>
      <c r="U31" s="38" t="s">
        <v>2</v>
      </c>
      <c r="V31" s="38" t="s">
        <v>2</v>
      </c>
      <c r="W31" s="38" t="s">
        <v>2</v>
      </c>
      <c r="X31" s="38" t="s">
        <v>2</v>
      </c>
      <c r="Y31" s="38" t="s">
        <v>2</v>
      </c>
      <c r="Z31" s="38" t="s">
        <v>2</v>
      </c>
      <c r="AA31" s="38" t="s">
        <v>2</v>
      </c>
      <c r="AB31" s="40">
        <v>5500</v>
      </c>
      <c r="AC31" s="76">
        <v>60000</v>
      </c>
      <c r="AD31" s="38"/>
      <c r="AE31" s="38"/>
      <c r="AF31" s="38">
        <v>78</v>
      </c>
      <c r="AG31" s="38"/>
      <c r="AH31" s="38">
        <f t="shared" si="4"/>
        <v>78</v>
      </c>
      <c r="AI31" s="38"/>
      <c r="AJ31" s="38">
        <v>5</v>
      </c>
      <c r="AK31" s="38" t="s">
        <v>38</v>
      </c>
      <c r="AL31" s="38">
        <v>1250</v>
      </c>
      <c r="AM31" s="41">
        <v>1</v>
      </c>
    </row>
    <row r="32" spans="2:39" x14ac:dyDescent="0.2">
      <c r="B32" s="37">
        <v>30</v>
      </c>
      <c r="C32" s="38">
        <v>28</v>
      </c>
      <c r="D32" s="38" t="s">
        <v>85</v>
      </c>
      <c r="E32" s="39" t="str">
        <f t="shared" si="0"/>
        <v>28 - Eure-et-Loire</v>
      </c>
      <c r="F32" s="37">
        <v>30</v>
      </c>
      <c r="G32" s="38" t="s">
        <v>40</v>
      </c>
      <c r="H32" s="38" t="s">
        <v>60</v>
      </c>
      <c r="I32" s="38">
        <v>2</v>
      </c>
      <c r="J32" s="38">
        <f t="shared" si="1"/>
        <v>3</v>
      </c>
      <c r="K32" s="38">
        <f t="shared" si="2"/>
        <v>-7</v>
      </c>
      <c r="L32" s="38">
        <f t="shared" si="3"/>
        <v>-8</v>
      </c>
      <c r="M32" s="38" t="s">
        <v>2</v>
      </c>
      <c r="N32" s="42" t="s">
        <v>2</v>
      </c>
      <c r="O32" s="38">
        <v>-7</v>
      </c>
      <c r="P32" s="38">
        <v>-8</v>
      </c>
      <c r="Q32" s="38" t="s">
        <v>2</v>
      </c>
      <c r="R32" s="38" t="s">
        <v>2</v>
      </c>
      <c r="S32" s="38" t="s">
        <v>2</v>
      </c>
      <c r="T32" s="38" t="s">
        <v>2</v>
      </c>
      <c r="U32" s="38" t="s">
        <v>2</v>
      </c>
      <c r="V32" s="38" t="s">
        <v>2</v>
      </c>
      <c r="W32" s="38" t="s">
        <v>2</v>
      </c>
      <c r="X32" s="38" t="s">
        <v>2</v>
      </c>
      <c r="Y32" s="38" t="s">
        <v>2</v>
      </c>
      <c r="Z32" s="38" t="s">
        <v>2</v>
      </c>
      <c r="AA32" s="38" t="s">
        <v>2</v>
      </c>
      <c r="AB32" s="40">
        <v>5600</v>
      </c>
      <c r="AC32" s="76">
        <v>60504</v>
      </c>
      <c r="AD32" s="38"/>
      <c r="AE32" s="38"/>
      <c r="AF32" s="38">
        <v>78</v>
      </c>
      <c r="AG32" s="38"/>
      <c r="AH32" s="38">
        <f t="shared" si="4"/>
        <v>78</v>
      </c>
      <c r="AI32" s="38"/>
      <c r="AJ32" s="38"/>
      <c r="AK32" s="38" t="s">
        <v>42</v>
      </c>
      <c r="AL32" s="38">
        <v>1450</v>
      </c>
      <c r="AM32" s="41">
        <v>1</v>
      </c>
    </row>
    <row r="33" spans="2:39" x14ac:dyDescent="0.2">
      <c r="B33" s="37">
        <v>31</v>
      </c>
      <c r="C33" s="38">
        <v>29</v>
      </c>
      <c r="D33" s="38" t="s">
        <v>86</v>
      </c>
      <c r="E33" s="39" t="str">
        <f t="shared" si="0"/>
        <v>29 - Finistère</v>
      </c>
      <c r="F33" s="37">
        <v>31</v>
      </c>
      <c r="G33" s="38" t="s">
        <v>47</v>
      </c>
      <c r="H33" s="38" t="s">
        <v>44</v>
      </c>
      <c r="I33" s="38">
        <v>0</v>
      </c>
      <c r="J33" s="38">
        <f t="shared" si="1"/>
        <v>3</v>
      </c>
      <c r="K33" s="38">
        <f t="shared" si="2"/>
        <v>-2</v>
      </c>
      <c r="L33" s="38">
        <f t="shared" si="3"/>
        <v>-5</v>
      </c>
      <c r="M33" s="38">
        <v>-2</v>
      </c>
      <c r="N33" s="42">
        <v>-4</v>
      </c>
      <c r="O33" s="38">
        <v>-4</v>
      </c>
      <c r="P33" s="38">
        <v>-5</v>
      </c>
      <c r="Q33" s="38" t="s">
        <v>2</v>
      </c>
      <c r="R33" s="38" t="s">
        <v>2</v>
      </c>
      <c r="S33" s="38" t="s">
        <v>2</v>
      </c>
      <c r="T33" s="38" t="s">
        <v>2</v>
      </c>
      <c r="U33" s="38" t="s">
        <v>2</v>
      </c>
      <c r="V33" s="38" t="s">
        <v>2</v>
      </c>
      <c r="W33" s="38" t="s">
        <v>2</v>
      </c>
      <c r="X33" s="38" t="s">
        <v>2</v>
      </c>
      <c r="Y33" s="38" t="s">
        <v>2</v>
      </c>
      <c r="Z33" s="38" t="s">
        <v>2</v>
      </c>
      <c r="AA33" s="38" t="s">
        <v>2</v>
      </c>
      <c r="AB33" s="40">
        <v>5800</v>
      </c>
      <c r="AC33" s="76">
        <v>44900</v>
      </c>
      <c r="AD33" s="38"/>
      <c r="AE33" s="38"/>
      <c r="AF33" s="38">
        <v>79</v>
      </c>
      <c r="AG33" s="38"/>
      <c r="AH33" s="38">
        <f t="shared" si="4"/>
        <v>79</v>
      </c>
      <c r="AI33" s="38"/>
      <c r="AJ33" s="38">
        <v>5</v>
      </c>
      <c r="AK33" s="38" t="s">
        <v>38</v>
      </c>
      <c r="AL33" s="38">
        <v>1250</v>
      </c>
      <c r="AM33" s="41">
        <v>1</v>
      </c>
    </row>
    <row r="34" spans="2:39" x14ac:dyDescent="0.2">
      <c r="B34" s="37">
        <v>32</v>
      </c>
      <c r="C34" s="38">
        <v>30</v>
      </c>
      <c r="D34" s="38" t="s">
        <v>87</v>
      </c>
      <c r="E34" s="39" t="str">
        <f t="shared" si="0"/>
        <v>30 - Gard</v>
      </c>
      <c r="F34" s="37">
        <v>32</v>
      </c>
      <c r="G34" s="38" t="s">
        <v>55</v>
      </c>
      <c r="H34" s="38" t="s">
        <v>48</v>
      </c>
      <c r="I34" s="38">
        <v>0</v>
      </c>
      <c r="J34" s="38">
        <f t="shared" si="1"/>
        <v>14</v>
      </c>
      <c r="K34" s="38">
        <f t="shared" si="2"/>
        <v>-3</v>
      </c>
      <c r="L34" s="38">
        <f t="shared" si="3"/>
        <v>-12</v>
      </c>
      <c r="M34" s="38">
        <v>-3</v>
      </c>
      <c r="N34" s="42">
        <v>-3</v>
      </c>
      <c r="O34" s="38">
        <v>-5</v>
      </c>
      <c r="P34" s="38">
        <v>-6</v>
      </c>
      <c r="Q34" s="38">
        <v>-7</v>
      </c>
      <c r="R34" s="38">
        <v>-7</v>
      </c>
      <c r="S34" s="38">
        <v>-8</v>
      </c>
      <c r="T34" s="38">
        <v>-8</v>
      </c>
      <c r="U34" s="38">
        <v>-9</v>
      </c>
      <c r="V34" s="38">
        <v>-9</v>
      </c>
      <c r="W34" s="38">
        <v>-10</v>
      </c>
      <c r="X34" s="38">
        <v>-10</v>
      </c>
      <c r="Y34" s="38">
        <v>-11</v>
      </c>
      <c r="Z34" s="38">
        <v>-11</v>
      </c>
      <c r="AA34" s="38">
        <v>-12</v>
      </c>
      <c r="AB34" s="40">
        <v>4000</v>
      </c>
      <c r="AC34" s="76">
        <v>42300</v>
      </c>
      <c r="AD34" s="38" t="s">
        <v>57</v>
      </c>
      <c r="AE34" s="38" t="s">
        <v>58</v>
      </c>
      <c r="AF34" s="38">
        <v>120</v>
      </c>
      <c r="AG34" s="38">
        <v>127</v>
      </c>
      <c r="AH34" s="38">
        <f t="shared" si="4"/>
        <v>123.5</v>
      </c>
      <c r="AI34" s="38">
        <v>1.8</v>
      </c>
      <c r="AJ34" s="38">
        <v>5</v>
      </c>
      <c r="AK34" s="38" t="s">
        <v>49</v>
      </c>
      <c r="AL34" s="38">
        <v>2200</v>
      </c>
      <c r="AM34" s="41">
        <v>1</v>
      </c>
    </row>
    <row r="35" spans="2:39" x14ac:dyDescent="0.2">
      <c r="B35" s="37">
        <v>33</v>
      </c>
      <c r="C35" s="38">
        <v>31</v>
      </c>
      <c r="D35" s="38" t="s">
        <v>88</v>
      </c>
      <c r="E35" s="39" t="str">
        <f t="shared" si="0"/>
        <v>31 - Haute-Garonne</v>
      </c>
      <c r="F35" s="37">
        <v>33</v>
      </c>
      <c r="G35" s="38" t="s">
        <v>47</v>
      </c>
      <c r="H35" s="38" t="s">
        <v>41</v>
      </c>
      <c r="I35" s="38">
        <v>2</v>
      </c>
      <c r="J35" s="38">
        <f t="shared" si="1"/>
        <v>14</v>
      </c>
      <c r="K35" s="38">
        <f t="shared" si="2"/>
        <v>-5</v>
      </c>
      <c r="L35" s="38">
        <f t="shared" si="3"/>
        <v>-12</v>
      </c>
      <c r="M35" s="38" t="s">
        <v>2</v>
      </c>
      <c r="N35" s="42" t="s">
        <v>2</v>
      </c>
      <c r="O35" s="38">
        <v>-5</v>
      </c>
      <c r="P35" s="38">
        <v>-6</v>
      </c>
      <c r="Q35" s="38">
        <v>-7</v>
      </c>
      <c r="R35" s="38">
        <v>-7</v>
      </c>
      <c r="S35" s="38">
        <v>-8</v>
      </c>
      <c r="T35" s="38">
        <v>-8</v>
      </c>
      <c r="U35" s="38">
        <v>-9</v>
      </c>
      <c r="V35" s="38">
        <v>-9</v>
      </c>
      <c r="W35" s="38">
        <v>-10</v>
      </c>
      <c r="X35" s="38">
        <v>-10</v>
      </c>
      <c r="Y35" s="38">
        <v>-11</v>
      </c>
      <c r="Z35" s="38">
        <v>-11</v>
      </c>
      <c r="AA35" s="38">
        <v>-12</v>
      </c>
      <c r="AB35" s="40">
        <v>4500</v>
      </c>
      <c r="AC35" s="76">
        <v>48300</v>
      </c>
      <c r="AD35" s="38"/>
      <c r="AE35" s="38"/>
      <c r="AF35" s="38">
        <v>98</v>
      </c>
      <c r="AG35" s="38"/>
      <c r="AH35" s="38">
        <f t="shared" si="4"/>
        <v>98</v>
      </c>
      <c r="AI35" s="38">
        <v>1.5</v>
      </c>
      <c r="AJ35" s="38"/>
      <c r="AK35" s="38" t="s">
        <v>53</v>
      </c>
      <c r="AL35" s="38">
        <v>1800</v>
      </c>
      <c r="AM35" s="41">
        <v>1</v>
      </c>
    </row>
    <row r="36" spans="2:39" x14ac:dyDescent="0.2">
      <c r="B36" s="37">
        <v>34</v>
      </c>
      <c r="C36" s="38">
        <v>32</v>
      </c>
      <c r="D36" s="38" t="s">
        <v>89</v>
      </c>
      <c r="E36" s="39" t="str">
        <f t="shared" ref="E36:E67" si="5">C36&amp;" - "&amp;D36</f>
        <v>32 - Gers</v>
      </c>
      <c r="F36" s="37">
        <v>34</v>
      </c>
      <c r="G36" s="38" t="s">
        <v>47</v>
      </c>
      <c r="H36" s="38" t="s">
        <v>41</v>
      </c>
      <c r="I36" s="38">
        <v>2</v>
      </c>
      <c r="J36" s="38">
        <f t="shared" ref="J36:J67" si="6">MATCH(L36,M36:AA36,0)-1</f>
        <v>3</v>
      </c>
      <c r="K36" s="38">
        <f t="shared" ref="K36:K67" si="7">MAX(M36:AA36)</f>
        <v>-5</v>
      </c>
      <c r="L36" s="38">
        <f t="shared" ref="L36:L67" si="8">MIN(M36:AA36)</f>
        <v>-6</v>
      </c>
      <c r="M36" s="38" t="s">
        <v>2</v>
      </c>
      <c r="N36" s="42" t="s">
        <v>2</v>
      </c>
      <c r="O36" s="38">
        <v>-5</v>
      </c>
      <c r="P36" s="38">
        <v>-6</v>
      </c>
      <c r="Q36" s="38" t="s">
        <v>2</v>
      </c>
      <c r="R36" s="38" t="s">
        <v>2</v>
      </c>
      <c r="S36" s="38" t="s">
        <v>2</v>
      </c>
      <c r="T36" s="38" t="s">
        <v>2</v>
      </c>
      <c r="U36" s="38" t="s">
        <v>2</v>
      </c>
      <c r="V36" s="38" t="s">
        <v>2</v>
      </c>
      <c r="W36" s="38" t="s">
        <v>2</v>
      </c>
      <c r="X36" s="38" t="s">
        <v>2</v>
      </c>
      <c r="Y36" s="38" t="s">
        <v>2</v>
      </c>
      <c r="Z36" s="38" t="s">
        <v>2</v>
      </c>
      <c r="AA36" s="38" t="s">
        <v>2</v>
      </c>
      <c r="AB36" s="40">
        <v>4800</v>
      </c>
      <c r="AC36" s="76">
        <v>48000</v>
      </c>
      <c r="AD36" s="38"/>
      <c r="AE36" s="38"/>
      <c r="AF36" s="38">
        <v>92</v>
      </c>
      <c r="AG36" s="38"/>
      <c r="AH36" s="38">
        <f t="shared" ref="AH36:AH67" si="9">IF(AG36=0,AF36,(AF36+AG36)/2)</f>
        <v>92</v>
      </c>
      <c r="AI36" s="38"/>
      <c r="AJ36" s="38"/>
      <c r="AK36" s="38" t="s">
        <v>53</v>
      </c>
      <c r="AL36" s="38">
        <v>1800</v>
      </c>
      <c r="AM36" s="41">
        <v>1</v>
      </c>
    </row>
    <row r="37" spans="2:39" x14ac:dyDescent="0.2">
      <c r="B37" s="37">
        <v>35</v>
      </c>
      <c r="C37" s="38">
        <v>33</v>
      </c>
      <c r="D37" s="38" t="s">
        <v>90</v>
      </c>
      <c r="E37" s="39" t="str">
        <f t="shared" si="5"/>
        <v>33 - Gironde</v>
      </c>
      <c r="F37" s="37">
        <v>35</v>
      </c>
      <c r="G37" s="38" t="s">
        <v>47</v>
      </c>
      <c r="H37" s="38" t="s">
        <v>41</v>
      </c>
      <c r="I37" s="38">
        <v>0</v>
      </c>
      <c r="J37" s="38">
        <f t="shared" si="6"/>
        <v>2</v>
      </c>
      <c r="K37" s="38">
        <f t="shared" si="7"/>
        <v>-2</v>
      </c>
      <c r="L37" s="38">
        <f t="shared" si="8"/>
        <v>-5</v>
      </c>
      <c r="M37" s="38">
        <v>-2</v>
      </c>
      <c r="N37" s="42">
        <v>-4</v>
      </c>
      <c r="O37" s="38">
        <v>-5</v>
      </c>
      <c r="P37" s="38" t="s">
        <v>2</v>
      </c>
      <c r="Q37" s="38" t="s">
        <v>2</v>
      </c>
      <c r="R37" s="38" t="s">
        <v>2</v>
      </c>
      <c r="S37" s="38" t="s">
        <v>2</v>
      </c>
      <c r="T37" s="38" t="s">
        <v>2</v>
      </c>
      <c r="U37" s="38" t="s">
        <v>2</v>
      </c>
      <c r="V37" s="38" t="s">
        <v>2</v>
      </c>
      <c r="W37" s="38" t="s">
        <v>2</v>
      </c>
      <c r="X37" s="38" t="s">
        <v>2</v>
      </c>
      <c r="Y37" s="38" t="s">
        <v>2</v>
      </c>
      <c r="Z37" s="38" t="s">
        <v>2</v>
      </c>
      <c r="AA37" s="38" t="s">
        <v>2</v>
      </c>
      <c r="AB37" s="40">
        <v>4500</v>
      </c>
      <c r="AC37" s="76">
        <v>44400</v>
      </c>
      <c r="AD37" s="38"/>
      <c r="AE37" s="38"/>
      <c r="AF37" s="38">
        <v>91</v>
      </c>
      <c r="AG37" s="38"/>
      <c r="AH37" s="38">
        <f t="shared" si="9"/>
        <v>91</v>
      </c>
      <c r="AI37" s="38"/>
      <c r="AJ37" s="38">
        <v>5</v>
      </c>
      <c r="AK37" s="38" t="s">
        <v>53</v>
      </c>
      <c r="AL37" s="38">
        <v>1800</v>
      </c>
      <c r="AM37" s="41">
        <v>1</v>
      </c>
    </row>
    <row r="38" spans="2:39" x14ac:dyDescent="0.2">
      <c r="B38" s="37">
        <v>36</v>
      </c>
      <c r="C38" s="38">
        <v>34</v>
      </c>
      <c r="D38" s="38" t="s">
        <v>91</v>
      </c>
      <c r="E38" s="39" t="str">
        <f t="shared" si="5"/>
        <v>34 - Hérault</v>
      </c>
      <c r="F38" s="37">
        <v>36</v>
      </c>
      <c r="G38" s="38" t="s">
        <v>55</v>
      </c>
      <c r="H38" s="38" t="s">
        <v>48</v>
      </c>
      <c r="I38" s="38">
        <v>0</v>
      </c>
      <c r="J38" s="38">
        <f t="shared" si="6"/>
        <v>14</v>
      </c>
      <c r="K38" s="38">
        <f t="shared" si="7"/>
        <v>-3</v>
      </c>
      <c r="L38" s="38">
        <f t="shared" si="8"/>
        <v>-12</v>
      </c>
      <c r="M38" s="38">
        <v>-3</v>
      </c>
      <c r="N38" s="42">
        <v>-3</v>
      </c>
      <c r="O38" s="38">
        <v>-5</v>
      </c>
      <c r="P38" s="38">
        <v>-6</v>
      </c>
      <c r="Q38" s="38">
        <v>-7</v>
      </c>
      <c r="R38" s="38">
        <v>-7</v>
      </c>
      <c r="S38" s="38">
        <v>-8</v>
      </c>
      <c r="T38" s="38">
        <v>-8</v>
      </c>
      <c r="U38" s="38">
        <v>-9</v>
      </c>
      <c r="V38" s="38">
        <v>-9</v>
      </c>
      <c r="W38" s="38">
        <v>-10</v>
      </c>
      <c r="X38" s="38">
        <v>-10</v>
      </c>
      <c r="Y38" s="38">
        <v>-11</v>
      </c>
      <c r="Z38" s="38">
        <v>-11</v>
      </c>
      <c r="AA38" s="38">
        <v>-12</v>
      </c>
      <c r="AB38" s="40">
        <v>4100</v>
      </c>
      <c r="AC38" s="76">
        <v>36500</v>
      </c>
      <c r="AD38" s="38" t="s">
        <v>64</v>
      </c>
      <c r="AE38" s="43" t="s">
        <v>65</v>
      </c>
      <c r="AF38" s="38">
        <v>110</v>
      </c>
      <c r="AG38" s="38">
        <v>127</v>
      </c>
      <c r="AH38" s="38">
        <f t="shared" si="9"/>
        <v>118.5</v>
      </c>
      <c r="AI38" s="38">
        <v>1.8</v>
      </c>
      <c r="AJ38" s="38">
        <v>5</v>
      </c>
      <c r="AK38" s="38" t="s">
        <v>49</v>
      </c>
      <c r="AL38" s="38">
        <v>2200</v>
      </c>
      <c r="AM38" s="41">
        <v>1</v>
      </c>
    </row>
    <row r="39" spans="2:39" x14ac:dyDescent="0.2">
      <c r="B39" s="37">
        <v>37</v>
      </c>
      <c r="C39" s="38">
        <v>35</v>
      </c>
      <c r="D39" s="38" t="s">
        <v>92</v>
      </c>
      <c r="E39" s="39" t="str">
        <f t="shared" si="5"/>
        <v>35 - Ile-et-Vilaine</v>
      </c>
      <c r="F39" s="37">
        <v>37</v>
      </c>
      <c r="G39" s="38" t="s">
        <v>47</v>
      </c>
      <c r="H39" s="38" t="s">
        <v>44</v>
      </c>
      <c r="I39" s="38">
        <v>0</v>
      </c>
      <c r="J39" s="38">
        <f t="shared" si="6"/>
        <v>1</v>
      </c>
      <c r="K39" s="38">
        <f t="shared" si="7"/>
        <v>-2</v>
      </c>
      <c r="L39" s="38">
        <f t="shared" si="8"/>
        <v>-4</v>
      </c>
      <c r="M39" s="38">
        <v>-2</v>
      </c>
      <c r="N39" s="42">
        <v>-4</v>
      </c>
      <c r="O39" s="38">
        <v>-4</v>
      </c>
      <c r="P39" s="38" t="s">
        <v>2</v>
      </c>
      <c r="Q39" s="38" t="s">
        <v>2</v>
      </c>
      <c r="R39" s="38" t="s">
        <v>2</v>
      </c>
      <c r="S39" s="38" t="s">
        <v>2</v>
      </c>
      <c r="T39" s="38" t="s">
        <v>2</v>
      </c>
      <c r="U39" s="38" t="s">
        <v>2</v>
      </c>
      <c r="V39" s="38" t="s">
        <v>2</v>
      </c>
      <c r="W39" s="38" t="s">
        <v>2</v>
      </c>
      <c r="X39" s="38" t="s">
        <v>2</v>
      </c>
      <c r="Y39" s="38" t="s">
        <v>2</v>
      </c>
      <c r="Z39" s="38" t="s">
        <v>2</v>
      </c>
      <c r="AA39" s="38" t="s">
        <v>2</v>
      </c>
      <c r="AB39" s="40">
        <v>5300</v>
      </c>
      <c r="AC39" s="76">
        <v>53000</v>
      </c>
      <c r="AD39" s="38"/>
      <c r="AE39" s="38"/>
      <c r="AF39" s="38">
        <v>79</v>
      </c>
      <c r="AG39" s="38"/>
      <c r="AH39" s="38">
        <f t="shared" si="9"/>
        <v>79</v>
      </c>
      <c r="AI39" s="38"/>
      <c r="AJ39" s="38">
        <v>5</v>
      </c>
      <c r="AK39" s="38" t="s">
        <v>42</v>
      </c>
      <c r="AL39" s="38">
        <v>1450</v>
      </c>
      <c r="AM39" s="41">
        <v>1</v>
      </c>
    </row>
    <row r="40" spans="2:39" x14ac:dyDescent="0.2">
      <c r="B40" s="37">
        <v>38</v>
      </c>
      <c r="C40" s="38">
        <v>36</v>
      </c>
      <c r="D40" s="38" t="s">
        <v>93</v>
      </c>
      <c r="E40" s="39" t="str">
        <f t="shared" si="5"/>
        <v>36 - Indre</v>
      </c>
      <c r="F40" s="37">
        <v>38</v>
      </c>
      <c r="G40" s="38" t="s">
        <v>47</v>
      </c>
      <c r="H40" s="38" t="s">
        <v>60</v>
      </c>
      <c r="I40" s="38">
        <v>2</v>
      </c>
      <c r="J40" s="38">
        <f t="shared" si="6"/>
        <v>4</v>
      </c>
      <c r="K40" s="38">
        <f t="shared" si="7"/>
        <v>-7</v>
      </c>
      <c r="L40" s="38">
        <f t="shared" si="8"/>
        <v>-9</v>
      </c>
      <c r="M40" s="38" t="s">
        <v>2</v>
      </c>
      <c r="N40" s="42" t="s">
        <v>2</v>
      </c>
      <c r="O40" s="38">
        <v>-7</v>
      </c>
      <c r="P40" s="38">
        <v>-8</v>
      </c>
      <c r="Q40" s="38">
        <v>-9</v>
      </c>
      <c r="R40" s="38" t="s">
        <v>2</v>
      </c>
      <c r="S40" s="38" t="s">
        <v>2</v>
      </c>
      <c r="T40" s="38" t="s">
        <v>2</v>
      </c>
      <c r="U40" s="38" t="s">
        <v>2</v>
      </c>
      <c r="V40" s="38" t="s">
        <v>2</v>
      </c>
      <c r="W40" s="38" t="s">
        <v>2</v>
      </c>
      <c r="X40" s="38" t="s">
        <v>2</v>
      </c>
      <c r="Y40" s="38" t="s">
        <v>2</v>
      </c>
      <c r="Z40" s="38" t="s">
        <v>2</v>
      </c>
      <c r="AA40" s="38" t="s">
        <v>2</v>
      </c>
      <c r="AB40" s="40">
        <v>5300</v>
      </c>
      <c r="AC40" s="76">
        <v>59000</v>
      </c>
      <c r="AD40" s="38"/>
      <c r="AE40" s="38"/>
      <c r="AF40" s="38">
        <v>84</v>
      </c>
      <c r="AG40" s="38"/>
      <c r="AH40" s="38">
        <f t="shared" si="9"/>
        <v>84</v>
      </c>
      <c r="AI40" s="38"/>
      <c r="AJ40" s="38"/>
      <c r="AK40" s="38" t="s">
        <v>42</v>
      </c>
      <c r="AL40" s="38">
        <v>1450</v>
      </c>
      <c r="AM40" s="41">
        <v>1</v>
      </c>
    </row>
    <row r="41" spans="2:39" x14ac:dyDescent="0.2">
      <c r="B41" s="37">
        <v>39</v>
      </c>
      <c r="C41" s="38">
        <v>37</v>
      </c>
      <c r="D41" s="38" t="s">
        <v>94</v>
      </c>
      <c r="E41" s="39" t="str">
        <f t="shared" si="5"/>
        <v>37 - Indre-et-Loire</v>
      </c>
      <c r="F41" s="37">
        <v>39</v>
      </c>
      <c r="G41" s="38" t="s">
        <v>47</v>
      </c>
      <c r="H41" s="38" t="s">
        <v>60</v>
      </c>
      <c r="I41" s="38">
        <v>2</v>
      </c>
      <c r="J41" s="38">
        <f t="shared" si="6"/>
        <v>2</v>
      </c>
      <c r="K41" s="38">
        <f t="shared" si="7"/>
        <v>-7</v>
      </c>
      <c r="L41" s="38">
        <f t="shared" si="8"/>
        <v>-7</v>
      </c>
      <c r="M41" s="38" t="s">
        <v>2</v>
      </c>
      <c r="N41" s="42" t="s">
        <v>2</v>
      </c>
      <c r="O41" s="38">
        <v>-7</v>
      </c>
      <c r="P41" s="38" t="s">
        <v>2</v>
      </c>
      <c r="Q41" s="38" t="s">
        <v>2</v>
      </c>
      <c r="R41" s="38" t="s">
        <v>2</v>
      </c>
      <c r="S41" s="38" t="s">
        <v>2</v>
      </c>
      <c r="T41" s="38" t="s">
        <v>2</v>
      </c>
      <c r="U41" s="38" t="s">
        <v>2</v>
      </c>
      <c r="V41" s="38" t="s">
        <v>2</v>
      </c>
      <c r="W41" s="38" t="s">
        <v>2</v>
      </c>
      <c r="X41" s="38" t="s">
        <v>2</v>
      </c>
      <c r="Y41" s="38" t="s">
        <v>2</v>
      </c>
      <c r="Z41" s="38" t="s">
        <v>2</v>
      </c>
      <c r="AA41" s="38" t="s">
        <v>2</v>
      </c>
      <c r="AB41" s="40">
        <v>5300</v>
      </c>
      <c r="AC41" s="76">
        <v>57000</v>
      </c>
      <c r="AD41" s="38"/>
      <c r="AE41" s="38"/>
      <c r="AF41" s="38">
        <v>85</v>
      </c>
      <c r="AG41" s="38"/>
      <c r="AH41" s="38">
        <f t="shared" si="9"/>
        <v>85</v>
      </c>
      <c r="AI41" s="38"/>
      <c r="AJ41" s="38"/>
      <c r="AK41" s="38" t="s">
        <v>42</v>
      </c>
      <c r="AL41" s="38">
        <v>1450</v>
      </c>
      <c r="AM41" s="41">
        <v>1</v>
      </c>
    </row>
    <row r="42" spans="2:39" x14ac:dyDescent="0.2">
      <c r="B42" s="37">
        <v>40</v>
      </c>
      <c r="C42" s="38">
        <v>38</v>
      </c>
      <c r="D42" s="38" t="s">
        <v>95</v>
      </c>
      <c r="E42" s="39" t="str">
        <f t="shared" si="5"/>
        <v>38 - Isère</v>
      </c>
      <c r="F42" s="37">
        <v>40</v>
      </c>
      <c r="G42" s="38" t="s">
        <v>40</v>
      </c>
      <c r="H42" s="38" t="s">
        <v>41</v>
      </c>
      <c r="I42" s="38">
        <v>2</v>
      </c>
      <c r="J42" s="38">
        <f t="shared" si="6"/>
        <v>12</v>
      </c>
      <c r="K42" s="38">
        <f t="shared" si="7"/>
        <v>-10</v>
      </c>
      <c r="L42" s="38">
        <f t="shared" si="8"/>
        <v>-20</v>
      </c>
      <c r="M42" s="38" t="s">
        <v>2</v>
      </c>
      <c r="N42" s="42" t="s">
        <v>2</v>
      </c>
      <c r="O42" s="38">
        <v>-10</v>
      </c>
      <c r="P42" s="38">
        <v>-11</v>
      </c>
      <c r="Q42" s="38">
        <v>-12</v>
      </c>
      <c r="R42" s="38">
        <v>-13</v>
      </c>
      <c r="S42" s="38">
        <v>-14</v>
      </c>
      <c r="T42" s="38">
        <v>-15</v>
      </c>
      <c r="U42" s="38">
        <v>-16</v>
      </c>
      <c r="V42" s="38">
        <v>-17</v>
      </c>
      <c r="W42" s="38">
        <v>-18</v>
      </c>
      <c r="X42" s="38">
        <v>-19</v>
      </c>
      <c r="Y42" s="38">
        <v>-20</v>
      </c>
      <c r="Z42" s="38" t="s">
        <v>2</v>
      </c>
      <c r="AA42" s="38" t="s">
        <v>2</v>
      </c>
      <c r="AB42" s="40">
        <v>4800</v>
      </c>
      <c r="AC42" s="76">
        <v>62700</v>
      </c>
      <c r="AD42" s="38" t="s">
        <v>57</v>
      </c>
      <c r="AE42" s="38" t="s">
        <v>58</v>
      </c>
      <c r="AF42" s="38">
        <v>90</v>
      </c>
      <c r="AG42" s="38">
        <v>115</v>
      </c>
      <c r="AH42" s="38">
        <f t="shared" si="9"/>
        <v>102.5</v>
      </c>
      <c r="AI42" s="38">
        <v>1.5</v>
      </c>
      <c r="AJ42" s="38"/>
      <c r="AK42" s="38" t="s">
        <v>53</v>
      </c>
      <c r="AL42" s="38">
        <v>1800</v>
      </c>
      <c r="AM42" s="41">
        <v>1.1000000000000001</v>
      </c>
    </row>
    <row r="43" spans="2:39" x14ac:dyDescent="0.2">
      <c r="B43" s="37">
        <v>41</v>
      </c>
      <c r="C43" s="38">
        <v>39</v>
      </c>
      <c r="D43" s="38" t="s">
        <v>96</v>
      </c>
      <c r="E43" s="39" t="str">
        <f t="shared" si="5"/>
        <v>39 - Jura</v>
      </c>
      <c r="F43" s="37">
        <v>41</v>
      </c>
      <c r="G43" s="38" t="s">
        <v>40</v>
      </c>
      <c r="H43" s="38" t="s">
        <v>41</v>
      </c>
      <c r="I43" s="38">
        <v>2</v>
      </c>
      <c r="J43" s="38">
        <f t="shared" si="6"/>
        <v>12</v>
      </c>
      <c r="K43" s="38">
        <f t="shared" si="7"/>
        <v>-10</v>
      </c>
      <c r="L43" s="38">
        <f t="shared" si="8"/>
        <v>-20</v>
      </c>
      <c r="M43" s="38" t="s">
        <v>2</v>
      </c>
      <c r="N43" s="42" t="s">
        <v>2</v>
      </c>
      <c r="O43" s="38">
        <v>-10</v>
      </c>
      <c r="P43" s="38">
        <v>-11</v>
      </c>
      <c r="Q43" s="38">
        <v>-12</v>
      </c>
      <c r="R43" s="38">
        <v>-13</v>
      </c>
      <c r="S43" s="38">
        <v>-14</v>
      </c>
      <c r="T43" s="38">
        <v>-15</v>
      </c>
      <c r="U43" s="38">
        <v>-16</v>
      </c>
      <c r="V43" s="38">
        <v>-17</v>
      </c>
      <c r="W43" s="38">
        <v>-18</v>
      </c>
      <c r="X43" s="38">
        <v>-19</v>
      </c>
      <c r="Y43" s="38">
        <v>-20</v>
      </c>
      <c r="Z43" s="38" t="s">
        <v>2</v>
      </c>
      <c r="AA43" s="38" t="s">
        <v>2</v>
      </c>
      <c r="AB43" s="40">
        <v>4900</v>
      </c>
      <c r="AC43" s="76">
        <v>65000</v>
      </c>
      <c r="AD43" s="38"/>
      <c r="AE43" s="38"/>
      <c r="AF43" s="38">
        <v>74</v>
      </c>
      <c r="AG43" s="38"/>
      <c r="AH43" s="38">
        <f t="shared" si="9"/>
        <v>74</v>
      </c>
      <c r="AI43" s="38">
        <v>1.5</v>
      </c>
      <c r="AJ43" s="38"/>
      <c r="AK43" s="38" t="s">
        <v>42</v>
      </c>
      <c r="AL43" s="38">
        <v>1450</v>
      </c>
      <c r="AM43" s="41">
        <v>1</v>
      </c>
    </row>
    <row r="44" spans="2:39" x14ac:dyDescent="0.2">
      <c r="B44" s="37">
        <v>42</v>
      </c>
      <c r="C44" s="38">
        <v>40</v>
      </c>
      <c r="D44" s="38" t="s">
        <v>97</v>
      </c>
      <c r="E44" s="39" t="str">
        <f t="shared" si="5"/>
        <v>40 - Landes</v>
      </c>
      <c r="F44" s="37">
        <v>42</v>
      </c>
      <c r="G44" s="38" t="s">
        <v>47</v>
      </c>
      <c r="H44" s="38" t="s">
        <v>41</v>
      </c>
      <c r="I44" s="38">
        <v>0</v>
      </c>
      <c r="J44" s="38">
        <f t="shared" si="6"/>
        <v>3</v>
      </c>
      <c r="K44" s="38">
        <f t="shared" si="7"/>
        <v>-2</v>
      </c>
      <c r="L44" s="38">
        <f t="shared" si="8"/>
        <v>-6</v>
      </c>
      <c r="M44" s="38">
        <v>-2</v>
      </c>
      <c r="N44" s="42">
        <v>-4</v>
      </c>
      <c r="O44" s="38">
        <v>-5</v>
      </c>
      <c r="P44" s="38">
        <v>-6</v>
      </c>
      <c r="Q44" s="38" t="s">
        <v>2</v>
      </c>
      <c r="R44" s="38" t="s">
        <v>2</v>
      </c>
      <c r="S44" s="38" t="s">
        <v>2</v>
      </c>
      <c r="T44" s="38" t="s">
        <v>2</v>
      </c>
      <c r="U44" s="38" t="s">
        <v>2</v>
      </c>
      <c r="V44" s="38" t="s">
        <v>2</v>
      </c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40">
        <v>4400</v>
      </c>
      <c r="AC44" s="76">
        <v>42000</v>
      </c>
      <c r="AD44" s="38"/>
      <c r="AE44" s="38"/>
      <c r="AF44" s="38">
        <v>94</v>
      </c>
      <c r="AG44" s="38"/>
      <c r="AH44" s="38">
        <f t="shared" si="9"/>
        <v>94</v>
      </c>
      <c r="AI44" s="38"/>
      <c r="AJ44" s="38">
        <v>5</v>
      </c>
      <c r="AK44" s="38" t="s">
        <v>53</v>
      </c>
      <c r="AL44" s="38">
        <v>1800</v>
      </c>
      <c r="AM44" s="41">
        <v>1</v>
      </c>
    </row>
    <row r="45" spans="2:39" x14ac:dyDescent="0.2">
      <c r="B45" s="37">
        <v>43</v>
      </c>
      <c r="C45" s="38">
        <v>41</v>
      </c>
      <c r="D45" s="38" t="s">
        <v>98</v>
      </c>
      <c r="E45" s="39" t="str">
        <f t="shared" si="5"/>
        <v>41 - Loir-et-Cher</v>
      </c>
      <c r="F45" s="37">
        <v>43</v>
      </c>
      <c r="G45" s="38" t="s">
        <v>47</v>
      </c>
      <c r="H45" s="38" t="s">
        <v>60</v>
      </c>
      <c r="I45" s="38">
        <v>2</v>
      </c>
      <c r="J45" s="38">
        <f t="shared" si="6"/>
        <v>3</v>
      </c>
      <c r="K45" s="38">
        <f t="shared" si="7"/>
        <v>-7</v>
      </c>
      <c r="L45" s="38">
        <f t="shared" si="8"/>
        <v>-8</v>
      </c>
      <c r="M45" s="38" t="s">
        <v>2</v>
      </c>
      <c r="N45" s="42" t="s">
        <v>2</v>
      </c>
      <c r="O45" s="38">
        <v>-7</v>
      </c>
      <c r="P45" s="38">
        <v>-8</v>
      </c>
      <c r="Q45" s="38" t="s">
        <v>2</v>
      </c>
      <c r="R45" s="38" t="s">
        <v>2</v>
      </c>
      <c r="S45" s="38" t="s">
        <v>2</v>
      </c>
      <c r="T45" s="38" t="s">
        <v>2</v>
      </c>
      <c r="U45" s="38" t="s">
        <v>2</v>
      </c>
      <c r="V45" s="38" t="s">
        <v>2</v>
      </c>
      <c r="W45" s="38" t="s">
        <v>2</v>
      </c>
      <c r="X45" s="38" t="s">
        <v>2</v>
      </c>
      <c r="Y45" s="38" t="s">
        <v>2</v>
      </c>
      <c r="Z45" s="38" t="s">
        <v>2</v>
      </c>
      <c r="AA45" s="38" t="s">
        <v>2</v>
      </c>
      <c r="AB45" s="40">
        <v>5400</v>
      </c>
      <c r="AC45" s="76">
        <v>59000</v>
      </c>
      <c r="AD45" s="38"/>
      <c r="AE45" s="38"/>
      <c r="AF45" s="38">
        <v>82</v>
      </c>
      <c r="AG45" s="38"/>
      <c r="AH45" s="38">
        <f t="shared" si="9"/>
        <v>82</v>
      </c>
      <c r="AI45" s="38"/>
      <c r="AJ45" s="38"/>
      <c r="AK45" s="38" t="s">
        <v>42</v>
      </c>
      <c r="AL45" s="38">
        <v>1450</v>
      </c>
      <c r="AM45" s="41">
        <v>1</v>
      </c>
    </row>
    <row r="46" spans="2:39" x14ac:dyDescent="0.2">
      <c r="B46" s="37">
        <v>44</v>
      </c>
      <c r="C46" s="38">
        <v>42</v>
      </c>
      <c r="D46" s="38" t="s">
        <v>99</v>
      </c>
      <c r="E46" s="39" t="str">
        <f t="shared" si="5"/>
        <v>42 - Loire</v>
      </c>
      <c r="F46" s="37">
        <v>44</v>
      </c>
      <c r="G46" s="38" t="s">
        <v>40</v>
      </c>
      <c r="H46" s="38" t="s">
        <v>41</v>
      </c>
      <c r="I46" s="38">
        <v>2</v>
      </c>
      <c r="J46" s="38">
        <f t="shared" si="6"/>
        <v>12</v>
      </c>
      <c r="K46" s="38">
        <f t="shared" si="7"/>
        <v>-10</v>
      </c>
      <c r="L46" s="38">
        <f t="shared" si="8"/>
        <v>-20</v>
      </c>
      <c r="M46" s="38" t="s">
        <v>2</v>
      </c>
      <c r="N46" s="42" t="s">
        <v>2</v>
      </c>
      <c r="O46" s="38">
        <v>-10</v>
      </c>
      <c r="P46" s="38">
        <v>-11</v>
      </c>
      <c r="Q46" s="38">
        <v>-12</v>
      </c>
      <c r="R46" s="38">
        <v>-13</v>
      </c>
      <c r="S46" s="38">
        <v>-14</v>
      </c>
      <c r="T46" s="38">
        <v>-15</v>
      </c>
      <c r="U46" s="38">
        <v>-16</v>
      </c>
      <c r="V46" s="38">
        <v>-17</v>
      </c>
      <c r="W46" s="38">
        <v>-18</v>
      </c>
      <c r="X46" s="38">
        <v>-19</v>
      </c>
      <c r="Y46" s="38">
        <v>-20</v>
      </c>
      <c r="Z46" s="38" t="s">
        <v>2</v>
      </c>
      <c r="AA46" s="38" t="s">
        <v>2</v>
      </c>
      <c r="AB46" s="40">
        <v>4900</v>
      </c>
      <c r="AC46" s="76">
        <v>63300</v>
      </c>
      <c r="AD46" s="38"/>
      <c r="AE46" s="38"/>
      <c r="AF46" s="38">
        <v>83</v>
      </c>
      <c r="AG46" s="38"/>
      <c r="AH46" s="38">
        <f t="shared" si="9"/>
        <v>83</v>
      </c>
      <c r="AI46" s="38">
        <v>1.5</v>
      </c>
      <c r="AJ46" s="38"/>
      <c r="AK46" s="38" t="s">
        <v>42</v>
      </c>
      <c r="AL46" s="38">
        <v>1450</v>
      </c>
      <c r="AM46" s="41">
        <v>1</v>
      </c>
    </row>
    <row r="47" spans="2:39" x14ac:dyDescent="0.2">
      <c r="B47" s="37">
        <v>45</v>
      </c>
      <c r="C47" s="38">
        <v>43</v>
      </c>
      <c r="D47" s="38" t="s">
        <v>100</v>
      </c>
      <c r="E47" s="39" t="str">
        <f t="shared" si="5"/>
        <v>43 - Haute-Loire</v>
      </c>
      <c r="F47" s="37">
        <v>45</v>
      </c>
      <c r="G47" s="38" t="s">
        <v>40</v>
      </c>
      <c r="H47" s="38" t="s">
        <v>41</v>
      </c>
      <c r="I47" s="38">
        <v>2</v>
      </c>
      <c r="J47" s="38">
        <f t="shared" si="6"/>
        <v>13</v>
      </c>
      <c r="K47" s="38">
        <f t="shared" si="7"/>
        <v>-8</v>
      </c>
      <c r="L47" s="38">
        <f t="shared" si="8"/>
        <v>-19</v>
      </c>
      <c r="M47" s="38" t="s">
        <v>2</v>
      </c>
      <c r="N47" s="42" t="s">
        <v>2</v>
      </c>
      <c r="O47" s="38">
        <v>-8</v>
      </c>
      <c r="P47" s="38">
        <v>-9</v>
      </c>
      <c r="Q47" s="38">
        <v>-10</v>
      </c>
      <c r="R47" s="38">
        <v>-11</v>
      </c>
      <c r="S47" s="38">
        <v>-12</v>
      </c>
      <c r="T47" s="38">
        <v>-13</v>
      </c>
      <c r="U47" s="38">
        <v>-14</v>
      </c>
      <c r="V47" s="38">
        <v>-15</v>
      </c>
      <c r="W47" s="38">
        <v>-16</v>
      </c>
      <c r="X47" s="38">
        <v>-17</v>
      </c>
      <c r="Y47" s="38">
        <v>-18</v>
      </c>
      <c r="Z47" s="38">
        <v>-19</v>
      </c>
      <c r="AA47" s="38" t="s">
        <v>2</v>
      </c>
      <c r="AB47" s="40">
        <v>5000</v>
      </c>
      <c r="AC47" s="76">
        <v>61000</v>
      </c>
      <c r="AD47" s="38"/>
      <c r="AE47" s="38"/>
      <c r="AF47" s="38">
        <v>92</v>
      </c>
      <c r="AG47" s="38"/>
      <c r="AH47" s="38">
        <f t="shared" si="9"/>
        <v>92</v>
      </c>
      <c r="AI47" s="38">
        <v>1.5</v>
      </c>
      <c r="AJ47" s="38"/>
      <c r="AK47" s="38" t="s">
        <v>42</v>
      </c>
      <c r="AL47" s="38">
        <v>1450</v>
      </c>
      <c r="AM47" s="41">
        <v>1.1000000000000001</v>
      </c>
    </row>
    <row r="48" spans="2:39" x14ac:dyDescent="0.2">
      <c r="B48" s="37">
        <v>46</v>
      </c>
      <c r="C48" s="38">
        <v>44</v>
      </c>
      <c r="D48" s="38" t="s">
        <v>101</v>
      </c>
      <c r="E48" s="39" t="str">
        <f t="shared" si="5"/>
        <v>44 - Loire Atlantique</v>
      </c>
      <c r="F48" s="37">
        <v>46</v>
      </c>
      <c r="G48" s="38" t="s">
        <v>47</v>
      </c>
      <c r="H48" s="38" t="s">
        <v>60</v>
      </c>
      <c r="I48" s="38">
        <v>0</v>
      </c>
      <c r="J48" s="38">
        <f t="shared" si="6"/>
        <v>2</v>
      </c>
      <c r="K48" s="38">
        <f t="shared" si="7"/>
        <v>-2</v>
      </c>
      <c r="L48" s="38">
        <f t="shared" si="8"/>
        <v>-5</v>
      </c>
      <c r="M48" s="38">
        <v>-2</v>
      </c>
      <c r="N48" s="42">
        <v>-4</v>
      </c>
      <c r="O48" s="38">
        <v>-5</v>
      </c>
      <c r="P48" s="38" t="s">
        <v>2</v>
      </c>
      <c r="Q48" s="38" t="s">
        <v>2</v>
      </c>
      <c r="R48" s="38" t="s">
        <v>2</v>
      </c>
      <c r="S48" s="38" t="s">
        <v>2</v>
      </c>
      <c r="T48" s="38" t="s">
        <v>2</v>
      </c>
      <c r="U48" s="38" t="s">
        <v>2</v>
      </c>
      <c r="V48" s="38" t="s">
        <v>2</v>
      </c>
      <c r="W48" s="38" t="s">
        <v>2</v>
      </c>
      <c r="X48" s="38" t="s">
        <v>2</v>
      </c>
      <c r="Y48" s="38" t="s">
        <v>2</v>
      </c>
      <c r="Z48" s="38" t="s">
        <v>2</v>
      </c>
      <c r="AA48" s="38" t="s">
        <v>2</v>
      </c>
      <c r="AB48" s="40">
        <v>4900</v>
      </c>
      <c r="AC48" s="76">
        <v>49700</v>
      </c>
      <c r="AD48" s="38"/>
      <c r="AE48" s="38"/>
      <c r="AF48" s="38">
        <v>82</v>
      </c>
      <c r="AG48" s="38"/>
      <c r="AH48" s="38">
        <f t="shared" si="9"/>
        <v>82</v>
      </c>
      <c r="AI48" s="38"/>
      <c r="AJ48" s="38">
        <v>5</v>
      </c>
      <c r="AK48" s="38" t="s">
        <v>42</v>
      </c>
      <c r="AL48" s="38">
        <v>1450</v>
      </c>
      <c r="AM48" s="41">
        <v>1</v>
      </c>
    </row>
    <row r="49" spans="2:39" x14ac:dyDescent="0.2">
      <c r="B49" s="37">
        <v>47</v>
      </c>
      <c r="C49" s="38">
        <v>45</v>
      </c>
      <c r="D49" s="38" t="s">
        <v>102</v>
      </c>
      <c r="E49" s="39" t="str">
        <f t="shared" si="5"/>
        <v>45 - Loiret</v>
      </c>
      <c r="F49" s="37">
        <v>47</v>
      </c>
      <c r="G49" s="38" t="s">
        <v>40</v>
      </c>
      <c r="H49" s="38" t="s">
        <v>60</v>
      </c>
      <c r="I49" s="38">
        <v>2</v>
      </c>
      <c r="J49" s="38">
        <f t="shared" si="6"/>
        <v>3</v>
      </c>
      <c r="K49" s="38">
        <f t="shared" si="7"/>
        <v>-7</v>
      </c>
      <c r="L49" s="38">
        <f t="shared" si="8"/>
        <v>-8</v>
      </c>
      <c r="M49" s="38" t="s">
        <v>2</v>
      </c>
      <c r="N49" s="42" t="s">
        <v>2</v>
      </c>
      <c r="O49" s="38">
        <v>-7</v>
      </c>
      <c r="P49" s="38">
        <v>-8</v>
      </c>
      <c r="Q49" s="38" t="s">
        <v>2</v>
      </c>
      <c r="R49" s="38" t="s">
        <v>2</v>
      </c>
      <c r="S49" s="38" t="s">
        <v>2</v>
      </c>
      <c r="T49" s="38" t="s">
        <v>2</v>
      </c>
      <c r="U49" s="38" t="s">
        <v>2</v>
      </c>
      <c r="V49" s="38" t="s">
        <v>2</v>
      </c>
      <c r="W49" s="38" t="s">
        <v>2</v>
      </c>
      <c r="X49" s="38" t="s">
        <v>2</v>
      </c>
      <c r="Y49" s="38" t="s">
        <v>2</v>
      </c>
      <c r="Z49" s="38" t="s">
        <v>2</v>
      </c>
      <c r="AA49" s="38" t="s">
        <v>2</v>
      </c>
      <c r="AB49" s="40">
        <v>5400</v>
      </c>
      <c r="AC49" s="76">
        <v>61000</v>
      </c>
      <c r="AD49" s="38"/>
      <c r="AE49" s="38"/>
      <c r="AF49" s="38">
        <v>78</v>
      </c>
      <c r="AG49" s="38"/>
      <c r="AH49" s="38">
        <f t="shared" si="9"/>
        <v>78</v>
      </c>
      <c r="AI49" s="38"/>
      <c r="AJ49" s="38"/>
      <c r="AK49" s="38" t="s">
        <v>42</v>
      </c>
      <c r="AL49" s="38">
        <v>1450</v>
      </c>
      <c r="AM49" s="41">
        <v>1</v>
      </c>
    </row>
    <row r="50" spans="2:39" x14ac:dyDescent="0.2">
      <c r="B50" s="37">
        <v>48</v>
      </c>
      <c r="C50" s="38">
        <v>46</v>
      </c>
      <c r="D50" s="38" t="s">
        <v>103</v>
      </c>
      <c r="E50" s="39" t="str">
        <f t="shared" si="5"/>
        <v>46 - Lot</v>
      </c>
      <c r="F50" s="37">
        <v>48</v>
      </c>
      <c r="G50" s="38" t="s">
        <v>47</v>
      </c>
      <c r="H50" s="38" t="s">
        <v>41</v>
      </c>
      <c r="I50" s="38">
        <v>2</v>
      </c>
      <c r="J50" s="38">
        <f t="shared" si="6"/>
        <v>10</v>
      </c>
      <c r="K50" s="38">
        <f t="shared" si="7"/>
        <v>-6</v>
      </c>
      <c r="L50" s="38">
        <f t="shared" si="8"/>
        <v>-14</v>
      </c>
      <c r="M50" s="38" t="s">
        <v>2</v>
      </c>
      <c r="N50" s="42" t="s">
        <v>2</v>
      </c>
      <c r="O50" s="38">
        <v>-6</v>
      </c>
      <c r="P50" s="38">
        <v>-7</v>
      </c>
      <c r="Q50" s="38">
        <v>-8</v>
      </c>
      <c r="R50" s="38">
        <v>-9</v>
      </c>
      <c r="S50" s="38">
        <v>-10</v>
      </c>
      <c r="T50" s="38">
        <v>-11</v>
      </c>
      <c r="U50" s="38">
        <v>-12</v>
      </c>
      <c r="V50" s="38">
        <v>-13</v>
      </c>
      <c r="W50" s="38">
        <v>-14</v>
      </c>
      <c r="X50" s="38" t="s">
        <v>2</v>
      </c>
      <c r="Y50" s="38" t="s">
        <v>2</v>
      </c>
      <c r="Z50" s="38" t="s">
        <v>2</v>
      </c>
      <c r="AA50" s="38" t="s">
        <v>2</v>
      </c>
      <c r="AB50" s="40">
        <v>4600</v>
      </c>
      <c r="AC50" s="76">
        <v>51100</v>
      </c>
      <c r="AD50" s="38"/>
      <c r="AE50" s="38"/>
      <c r="AF50" s="38">
        <v>88</v>
      </c>
      <c r="AG50" s="38"/>
      <c r="AH50" s="38">
        <f t="shared" si="9"/>
        <v>88</v>
      </c>
      <c r="AI50" s="38">
        <v>1.5</v>
      </c>
      <c r="AJ50" s="38"/>
      <c r="AK50" s="38" t="s">
        <v>53</v>
      </c>
      <c r="AL50" s="38">
        <v>1800</v>
      </c>
      <c r="AM50" s="41">
        <v>1</v>
      </c>
    </row>
    <row r="51" spans="2:39" x14ac:dyDescent="0.2">
      <c r="B51" s="37">
        <v>49</v>
      </c>
      <c r="C51" s="38">
        <v>47</v>
      </c>
      <c r="D51" s="38" t="s">
        <v>104</v>
      </c>
      <c r="E51" s="39" t="str">
        <f t="shared" si="5"/>
        <v>47 - Lot-et-Garonne</v>
      </c>
      <c r="F51" s="37">
        <v>49</v>
      </c>
      <c r="G51" s="38" t="s">
        <v>47</v>
      </c>
      <c r="H51" s="38" t="s">
        <v>41</v>
      </c>
      <c r="I51" s="38">
        <v>2</v>
      </c>
      <c r="J51" s="38">
        <f t="shared" si="6"/>
        <v>3</v>
      </c>
      <c r="K51" s="38">
        <f t="shared" si="7"/>
        <v>-5</v>
      </c>
      <c r="L51" s="38">
        <f t="shared" si="8"/>
        <v>-6</v>
      </c>
      <c r="M51" s="38" t="s">
        <v>2</v>
      </c>
      <c r="N51" s="42" t="s">
        <v>2</v>
      </c>
      <c r="O51" s="38">
        <v>-5</v>
      </c>
      <c r="P51" s="38">
        <v>-6</v>
      </c>
      <c r="Q51" s="38" t="s">
        <v>2</v>
      </c>
      <c r="R51" s="38" t="s">
        <v>2</v>
      </c>
      <c r="S51" s="38" t="s">
        <v>2</v>
      </c>
      <c r="T51" s="38" t="s">
        <v>2</v>
      </c>
      <c r="U51" s="38" t="s">
        <v>2</v>
      </c>
      <c r="V51" s="38" t="s">
        <v>2</v>
      </c>
      <c r="W51" s="38" t="s">
        <v>2</v>
      </c>
      <c r="X51" s="38" t="s">
        <v>2</v>
      </c>
      <c r="Y51" s="38" t="s">
        <v>2</v>
      </c>
      <c r="Z51" s="38" t="s">
        <v>2</v>
      </c>
      <c r="AA51" s="38" t="s">
        <v>2</v>
      </c>
      <c r="AB51" s="40">
        <v>5000</v>
      </c>
      <c r="AC51" s="76">
        <v>49800</v>
      </c>
      <c r="AD51" s="38"/>
      <c r="AE51" s="38"/>
      <c r="AF51" s="38">
        <v>87</v>
      </c>
      <c r="AG51" s="38"/>
      <c r="AH51" s="38">
        <f t="shared" si="9"/>
        <v>87</v>
      </c>
      <c r="AI51" s="38"/>
      <c r="AJ51" s="38"/>
      <c r="AK51" s="38" t="s">
        <v>53</v>
      </c>
      <c r="AL51" s="38">
        <v>1800</v>
      </c>
      <c r="AM51" s="41">
        <v>1</v>
      </c>
    </row>
    <row r="52" spans="2:39" x14ac:dyDescent="0.2">
      <c r="B52" s="37">
        <v>50</v>
      </c>
      <c r="C52" s="38">
        <v>48</v>
      </c>
      <c r="D52" s="38" t="s">
        <v>105</v>
      </c>
      <c r="E52" s="39" t="str">
        <f t="shared" si="5"/>
        <v>48 - Lozère</v>
      </c>
      <c r="F52" s="37">
        <v>50</v>
      </c>
      <c r="G52" s="38" t="s">
        <v>47</v>
      </c>
      <c r="H52" s="38" t="s">
        <v>48</v>
      </c>
      <c r="I52" s="38">
        <v>2</v>
      </c>
      <c r="J52" s="38">
        <f t="shared" si="6"/>
        <v>13</v>
      </c>
      <c r="K52" s="38">
        <f t="shared" si="7"/>
        <v>-8</v>
      </c>
      <c r="L52" s="38">
        <f t="shared" si="8"/>
        <v>-19</v>
      </c>
      <c r="M52" s="38" t="s">
        <v>2</v>
      </c>
      <c r="N52" s="42" t="s">
        <v>2</v>
      </c>
      <c r="O52" s="38">
        <v>-8</v>
      </c>
      <c r="P52" s="38">
        <v>-9</v>
      </c>
      <c r="Q52" s="38">
        <v>-10</v>
      </c>
      <c r="R52" s="38">
        <v>-11</v>
      </c>
      <c r="S52" s="38">
        <v>-12</v>
      </c>
      <c r="T52" s="38">
        <v>-13</v>
      </c>
      <c r="U52" s="38">
        <v>-14</v>
      </c>
      <c r="V52" s="38">
        <v>-15</v>
      </c>
      <c r="W52" s="38">
        <v>-16</v>
      </c>
      <c r="X52" s="38">
        <v>-17</v>
      </c>
      <c r="Y52" s="38">
        <v>-18</v>
      </c>
      <c r="Z52" s="38">
        <v>-19</v>
      </c>
      <c r="AA52" s="38" t="s">
        <v>2</v>
      </c>
      <c r="AB52" s="40">
        <v>4600</v>
      </c>
      <c r="AC52" s="76">
        <v>64800</v>
      </c>
      <c r="AD52" s="38"/>
      <c r="AE52" s="38"/>
      <c r="AF52" s="38">
        <v>100</v>
      </c>
      <c r="AG52" s="38"/>
      <c r="AH52" s="38">
        <f t="shared" si="9"/>
        <v>100</v>
      </c>
      <c r="AI52" s="38">
        <v>1.5</v>
      </c>
      <c r="AJ52" s="38"/>
      <c r="AK52" s="38" t="s">
        <v>53</v>
      </c>
      <c r="AL52" s="38">
        <v>1800</v>
      </c>
      <c r="AM52" s="41">
        <v>1</v>
      </c>
    </row>
    <row r="53" spans="2:39" x14ac:dyDescent="0.2">
      <c r="B53" s="37">
        <v>51</v>
      </c>
      <c r="C53" s="38">
        <v>49</v>
      </c>
      <c r="D53" s="38" t="s">
        <v>106</v>
      </c>
      <c r="E53" s="39" t="str">
        <f t="shared" si="5"/>
        <v>49 - Maine-et-Loire</v>
      </c>
      <c r="F53" s="37">
        <v>51</v>
      </c>
      <c r="G53" s="38" t="s">
        <v>47</v>
      </c>
      <c r="H53" s="38" t="s">
        <v>60</v>
      </c>
      <c r="I53" s="38">
        <v>2</v>
      </c>
      <c r="J53" s="38">
        <f t="shared" si="6"/>
        <v>3</v>
      </c>
      <c r="K53" s="38">
        <f t="shared" si="7"/>
        <v>-7</v>
      </c>
      <c r="L53" s="38">
        <f t="shared" si="8"/>
        <v>-8</v>
      </c>
      <c r="M53" s="38" t="s">
        <v>2</v>
      </c>
      <c r="N53" s="42" t="s">
        <v>2</v>
      </c>
      <c r="O53" s="38">
        <v>-7</v>
      </c>
      <c r="P53" s="38">
        <v>-8</v>
      </c>
      <c r="Q53" s="38" t="s">
        <v>2</v>
      </c>
      <c r="R53" s="38" t="s">
        <v>2</v>
      </c>
      <c r="S53" s="38" t="s">
        <v>2</v>
      </c>
      <c r="T53" s="38" t="s">
        <v>2</v>
      </c>
      <c r="U53" s="38" t="s">
        <v>2</v>
      </c>
      <c r="V53" s="38" t="s">
        <v>2</v>
      </c>
      <c r="W53" s="38" t="s">
        <v>2</v>
      </c>
      <c r="X53" s="38" t="s">
        <v>2</v>
      </c>
      <c r="Y53" s="38" t="s">
        <v>2</v>
      </c>
      <c r="Z53" s="38" t="s">
        <v>2</v>
      </c>
      <c r="AA53" s="38" t="s">
        <v>2</v>
      </c>
      <c r="AB53" s="40">
        <v>5200</v>
      </c>
      <c r="AC53" s="76">
        <v>55000</v>
      </c>
      <c r="AD53" s="38"/>
      <c r="AE53" s="38"/>
      <c r="AF53" s="38">
        <v>83</v>
      </c>
      <c r="AG53" s="38"/>
      <c r="AH53" s="38">
        <f t="shared" si="9"/>
        <v>83</v>
      </c>
      <c r="AI53" s="38"/>
      <c r="AJ53" s="38"/>
      <c r="AK53" s="38" t="s">
        <v>42</v>
      </c>
      <c r="AL53" s="38">
        <v>1450</v>
      </c>
      <c r="AM53" s="41">
        <v>1</v>
      </c>
    </row>
    <row r="54" spans="2:39" x14ac:dyDescent="0.2">
      <c r="B54" s="37">
        <v>52</v>
      </c>
      <c r="C54" s="38">
        <v>50</v>
      </c>
      <c r="D54" s="38" t="s">
        <v>107</v>
      </c>
      <c r="E54" s="39" t="str">
        <f t="shared" si="5"/>
        <v>50 - Manche</v>
      </c>
      <c r="F54" s="37">
        <v>52</v>
      </c>
      <c r="G54" s="38" t="s">
        <v>47</v>
      </c>
      <c r="H54" s="38" t="s">
        <v>44</v>
      </c>
      <c r="I54" s="38">
        <v>0</v>
      </c>
      <c r="J54" s="38">
        <f t="shared" si="6"/>
        <v>3</v>
      </c>
      <c r="K54" s="38">
        <f t="shared" si="7"/>
        <v>-2</v>
      </c>
      <c r="L54" s="38">
        <f t="shared" si="8"/>
        <v>-5</v>
      </c>
      <c r="M54" s="38">
        <v>-2</v>
      </c>
      <c r="N54" s="42">
        <v>-2</v>
      </c>
      <c r="O54" s="38">
        <v>-4</v>
      </c>
      <c r="P54" s="38">
        <v>-5</v>
      </c>
      <c r="Q54" s="38" t="s">
        <v>2</v>
      </c>
      <c r="R54" s="38" t="s">
        <v>2</v>
      </c>
      <c r="S54" s="38" t="s">
        <v>2</v>
      </c>
      <c r="T54" s="38" t="s">
        <v>2</v>
      </c>
      <c r="U54" s="38" t="s">
        <v>2</v>
      </c>
      <c r="V54" s="38" t="s">
        <v>2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40">
        <v>5700</v>
      </c>
      <c r="AC54" s="76">
        <v>49700</v>
      </c>
      <c r="AD54" s="38"/>
      <c r="AE54" s="38"/>
      <c r="AF54" s="38">
        <v>76</v>
      </c>
      <c r="AG54" s="38"/>
      <c r="AH54" s="38">
        <f t="shared" si="9"/>
        <v>76</v>
      </c>
      <c r="AI54" s="38"/>
      <c r="AJ54" s="38">
        <v>4</v>
      </c>
      <c r="AK54" s="38" t="s">
        <v>38</v>
      </c>
      <c r="AL54" s="38">
        <v>1250</v>
      </c>
      <c r="AM54" s="41">
        <v>1</v>
      </c>
    </row>
    <row r="55" spans="2:39" x14ac:dyDescent="0.2">
      <c r="B55" s="37">
        <v>53</v>
      </c>
      <c r="C55" s="38">
        <v>51</v>
      </c>
      <c r="D55" s="38" t="s">
        <v>108</v>
      </c>
      <c r="E55" s="39" t="str">
        <f t="shared" si="5"/>
        <v>51 - Marne</v>
      </c>
      <c r="F55" s="37">
        <v>53</v>
      </c>
      <c r="G55" s="38" t="s">
        <v>40</v>
      </c>
      <c r="H55" s="38" t="s">
        <v>60</v>
      </c>
      <c r="I55" s="38">
        <v>2</v>
      </c>
      <c r="J55" s="38">
        <f t="shared" si="6"/>
        <v>3</v>
      </c>
      <c r="K55" s="38">
        <f t="shared" si="7"/>
        <v>-10</v>
      </c>
      <c r="L55" s="38">
        <f t="shared" si="8"/>
        <v>-11</v>
      </c>
      <c r="M55" s="38" t="s">
        <v>2</v>
      </c>
      <c r="N55" s="42" t="s">
        <v>2</v>
      </c>
      <c r="O55" s="38">
        <v>-10</v>
      </c>
      <c r="P55" s="38">
        <v>-11</v>
      </c>
      <c r="Q55" s="38" t="s">
        <v>2</v>
      </c>
      <c r="R55" s="38" t="s">
        <v>2</v>
      </c>
      <c r="S55" s="38" t="s">
        <v>2</v>
      </c>
      <c r="T55" s="38" t="s">
        <v>2</v>
      </c>
      <c r="U55" s="38" t="s">
        <v>2</v>
      </c>
      <c r="V55" s="38" t="s">
        <v>2</v>
      </c>
      <c r="W55" s="38" t="s">
        <v>2</v>
      </c>
      <c r="X55" s="38" t="s">
        <v>2</v>
      </c>
      <c r="Y55" s="38" t="s">
        <v>2</v>
      </c>
      <c r="Z55" s="38" t="s">
        <v>2</v>
      </c>
      <c r="AA55" s="38" t="s">
        <v>2</v>
      </c>
      <c r="AB55" s="40">
        <v>5600</v>
      </c>
      <c r="AC55" s="76">
        <v>65000</v>
      </c>
      <c r="AD55" s="38"/>
      <c r="AE55" s="38"/>
      <c r="AF55" s="38">
        <v>74</v>
      </c>
      <c r="AG55" s="38"/>
      <c r="AH55" s="38">
        <f t="shared" si="9"/>
        <v>74</v>
      </c>
      <c r="AI55" s="38"/>
      <c r="AJ55" s="38"/>
      <c r="AK55" s="38" t="s">
        <v>38</v>
      </c>
      <c r="AL55" s="38">
        <v>1250</v>
      </c>
      <c r="AM55" s="41">
        <v>1</v>
      </c>
    </row>
    <row r="56" spans="2:39" x14ac:dyDescent="0.2">
      <c r="B56" s="37">
        <v>54</v>
      </c>
      <c r="C56" s="38">
        <v>52</v>
      </c>
      <c r="D56" s="38" t="s">
        <v>109</v>
      </c>
      <c r="E56" s="39" t="str">
        <f t="shared" si="5"/>
        <v>52 - Haute-Marne</v>
      </c>
      <c r="F56" s="37">
        <v>54</v>
      </c>
      <c r="G56" s="38" t="s">
        <v>40</v>
      </c>
      <c r="H56" s="38" t="s">
        <v>60</v>
      </c>
      <c r="I56" s="38">
        <v>2</v>
      </c>
      <c r="J56" s="38">
        <f t="shared" si="6"/>
        <v>5</v>
      </c>
      <c r="K56" s="38">
        <f t="shared" si="7"/>
        <v>-12</v>
      </c>
      <c r="L56" s="38">
        <f t="shared" si="8"/>
        <v>-15</v>
      </c>
      <c r="M56" s="38" t="s">
        <v>2</v>
      </c>
      <c r="N56" s="42" t="s">
        <v>2</v>
      </c>
      <c r="O56" s="38">
        <v>-12</v>
      </c>
      <c r="P56" s="38">
        <v>-13</v>
      </c>
      <c r="Q56" s="38">
        <v>-14</v>
      </c>
      <c r="R56" s="38">
        <v>-15</v>
      </c>
      <c r="S56" s="38" t="s">
        <v>2</v>
      </c>
      <c r="T56" s="38" t="s">
        <v>2</v>
      </c>
      <c r="U56" s="38" t="s">
        <v>2</v>
      </c>
      <c r="V56" s="38" t="s">
        <v>2</v>
      </c>
      <c r="W56" s="38" t="s">
        <v>2</v>
      </c>
      <c r="X56" s="38" t="s">
        <v>2</v>
      </c>
      <c r="Y56" s="38" t="s">
        <v>2</v>
      </c>
      <c r="Z56" s="38" t="s">
        <v>2</v>
      </c>
      <c r="AA56" s="38" t="s">
        <v>2</v>
      </c>
      <c r="AB56" s="40">
        <v>5200</v>
      </c>
      <c r="AC56" s="76">
        <v>62700</v>
      </c>
      <c r="AD56" s="38"/>
      <c r="AE56" s="38"/>
      <c r="AF56" s="38">
        <v>73</v>
      </c>
      <c r="AG56" s="38"/>
      <c r="AH56" s="38">
        <f t="shared" si="9"/>
        <v>73</v>
      </c>
      <c r="AI56" s="38">
        <v>1.5</v>
      </c>
      <c r="AJ56" s="38"/>
      <c r="AK56" s="38" t="s">
        <v>38</v>
      </c>
      <c r="AL56" s="38">
        <v>1250</v>
      </c>
      <c r="AM56" s="41">
        <v>1</v>
      </c>
    </row>
    <row r="57" spans="2:39" x14ac:dyDescent="0.2">
      <c r="B57" s="37">
        <v>55</v>
      </c>
      <c r="C57" s="38">
        <v>53</v>
      </c>
      <c r="D57" s="38" t="s">
        <v>110</v>
      </c>
      <c r="E57" s="39" t="str">
        <f t="shared" si="5"/>
        <v>53 - Mayenne</v>
      </c>
      <c r="F57" s="37">
        <v>55</v>
      </c>
      <c r="G57" s="38" t="s">
        <v>47</v>
      </c>
      <c r="H57" s="38" t="s">
        <v>60</v>
      </c>
      <c r="I57" s="38">
        <v>2</v>
      </c>
      <c r="J57" s="38">
        <f t="shared" si="6"/>
        <v>3</v>
      </c>
      <c r="K57" s="38">
        <f t="shared" si="7"/>
        <v>-7</v>
      </c>
      <c r="L57" s="38">
        <f t="shared" si="8"/>
        <v>-8</v>
      </c>
      <c r="M57" s="38" t="s">
        <v>2</v>
      </c>
      <c r="N57" s="42" t="s">
        <v>2</v>
      </c>
      <c r="O57" s="38">
        <v>-7</v>
      </c>
      <c r="P57" s="38">
        <v>-8</v>
      </c>
      <c r="Q57" s="38" t="s">
        <v>2</v>
      </c>
      <c r="R57" s="38" t="s">
        <v>2</v>
      </c>
      <c r="S57" s="38" t="s">
        <v>2</v>
      </c>
      <c r="T57" s="38" t="s">
        <v>2</v>
      </c>
      <c r="U57" s="38" t="s">
        <v>2</v>
      </c>
      <c r="V57" s="38" t="s">
        <v>2</v>
      </c>
      <c r="W57" s="38" t="s">
        <v>2</v>
      </c>
      <c r="X57" s="38" t="s">
        <v>2</v>
      </c>
      <c r="Y57" s="38" t="s">
        <v>2</v>
      </c>
      <c r="Z57" s="38" t="s">
        <v>2</v>
      </c>
      <c r="AA57" s="38" t="s">
        <v>2</v>
      </c>
      <c r="AB57" s="40">
        <v>5200</v>
      </c>
      <c r="AC57" s="76">
        <v>55200</v>
      </c>
      <c r="AD57" s="38"/>
      <c r="AE57" s="38"/>
      <c r="AF57" s="38">
        <v>81</v>
      </c>
      <c r="AG57" s="38"/>
      <c r="AH57" s="38">
        <f t="shared" si="9"/>
        <v>81</v>
      </c>
      <c r="AI57" s="38"/>
      <c r="AJ57" s="38"/>
      <c r="AK57" s="38" t="s">
        <v>42</v>
      </c>
      <c r="AL57" s="38">
        <v>1450</v>
      </c>
      <c r="AM57" s="41">
        <v>1</v>
      </c>
    </row>
    <row r="58" spans="2:39" x14ac:dyDescent="0.2">
      <c r="B58" s="37">
        <v>56</v>
      </c>
      <c r="C58" s="38">
        <v>54</v>
      </c>
      <c r="D58" s="38" t="s">
        <v>111</v>
      </c>
      <c r="E58" s="39" t="str">
        <f t="shared" si="5"/>
        <v>54 - Meurthe-et-Moselle</v>
      </c>
      <c r="F58" s="37">
        <v>56</v>
      </c>
      <c r="G58" s="38" t="s">
        <v>40</v>
      </c>
      <c r="H58" s="38" t="s">
        <v>60</v>
      </c>
      <c r="I58" s="38">
        <v>2</v>
      </c>
      <c r="J58" s="38">
        <f t="shared" si="6"/>
        <v>8</v>
      </c>
      <c r="K58" s="38">
        <f t="shared" si="7"/>
        <v>-15</v>
      </c>
      <c r="L58" s="38">
        <f t="shared" si="8"/>
        <v>-20</v>
      </c>
      <c r="M58" s="38" t="s">
        <v>2</v>
      </c>
      <c r="N58" s="42" t="s">
        <v>2</v>
      </c>
      <c r="O58" s="38">
        <v>-15</v>
      </c>
      <c r="P58" s="38">
        <v>-15</v>
      </c>
      <c r="Q58" s="38">
        <v>-16</v>
      </c>
      <c r="R58" s="38">
        <v>-17</v>
      </c>
      <c r="S58" s="38">
        <v>-18</v>
      </c>
      <c r="T58" s="38">
        <v>-19</v>
      </c>
      <c r="U58" s="38">
        <v>-20</v>
      </c>
      <c r="V58" s="38" t="s">
        <v>2</v>
      </c>
      <c r="W58" s="38" t="s">
        <v>2</v>
      </c>
      <c r="X58" s="38" t="s">
        <v>2</v>
      </c>
      <c r="Y58" s="38" t="s">
        <v>2</v>
      </c>
      <c r="Z58" s="38" t="s">
        <v>2</v>
      </c>
      <c r="AA58" s="38" t="s">
        <v>2</v>
      </c>
      <c r="AB58" s="40">
        <v>5800</v>
      </c>
      <c r="AC58" s="76">
        <v>66500</v>
      </c>
      <c r="AD58" s="38"/>
      <c r="AE58" s="38"/>
      <c r="AF58" s="38">
        <v>69</v>
      </c>
      <c r="AG58" s="38"/>
      <c r="AH58" s="38">
        <f t="shared" si="9"/>
        <v>69</v>
      </c>
      <c r="AI58" s="38"/>
      <c r="AJ58" s="38"/>
      <c r="AK58" s="38" t="s">
        <v>38</v>
      </c>
      <c r="AL58" s="38">
        <v>1250</v>
      </c>
      <c r="AM58" s="41">
        <v>1</v>
      </c>
    </row>
    <row r="59" spans="2:39" x14ac:dyDescent="0.2">
      <c r="B59" s="37">
        <v>57</v>
      </c>
      <c r="C59" s="38">
        <v>55</v>
      </c>
      <c r="D59" s="38" t="s">
        <v>112</v>
      </c>
      <c r="E59" s="39" t="str">
        <f t="shared" si="5"/>
        <v>55 - Meuse</v>
      </c>
      <c r="F59" s="37">
        <v>57</v>
      </c>
      <c r="G59" s="38" t="s">
        <v>40</v>
      </c>
      <c r="H59" s="38" t="s">
        <v>60</v>
      </c>
      <c r="I59" s="38">
        <v>2</v>
      </c>
      <c r="J59" s="38">
        <f t="shared" si="6"/>
        <v>4</v>
      </c>
      <c r="K59" s="38">
        <f t="shared" si="7"/>
        <v>-12</v>
      </c>
      <c r="L59" s="38">
        <f t="shared" si="8"/>
        <v>-14</v>
      </c>
      <c r="M59" s="38" t="s">
        <v>2</v>
      </c>
      <c r="N59" s="42" t="s">
        <v>2</v>
      </c>
      <c r="O59" s="38">
        <v>-12</v>
      </c>
      <c r="P59" s="38">
        <v>-13</v>
      </c>
      <c r="Q59" s="38">
        <v>-14</v>
      </c>
      <c r="R59" s="38" t="s">
        <v>2</v>
      </c>
      <c r="S59" s="38" t="s">
        <v>2</v>
      </c>
      <c r="T59" s="38" t="s">
        <v>2</v>
      </c>
      <c r="U59" s="38" t="s">
        <v>2</v>
      </c>
      <c r="V59" s="38" t="s">
        <v>2</v>
      </c>
      <c r="W59" s="38" t="s">
        <v>2</v>
      </c>
      <c r="X59" s="38" t="s">
        <v>2</v>
      </c>
      <c r="Y59" s="38" t="s">
        <v>2</v>
      </c>
      <c r="Z59" s="38" t="s">
        <v>2</v>
      </c>
      <c r="AA59" s="38" t="s">
        <v>2</v>
      </c>
      <c r="AB59" s="40">
        <v>5600</v>
      </c>
      <c r="AC59" s="76">
        <v>71200</v>
      </c>
      <c r="AD59" s="38"/>
      <c r="AE59" s="38"/>
      <c r="AF59" s="38">
        <v>71</v>
      </c>
      <c r="AG59" s="38"/>
      <c r="AH59" s="38">
        <f t="shared" si="9"/>
        <v>71</v>
      </c>
      <c r="AI59" s="38"/>
      <c r="AJ59" s="38"/>
      <c r="AK59" s="38" t="s">
        <v>38</v>
      </c>
      <c r="AL59" s="38">
        <v>1250</v>
      </c>
      <c r="AM59" s="41">
        <v>1</v>
      </c>
    </row>
    <row r="60" spans="2:39" x14ac:dyDescent="0.2">
      <c r="B60" s="37">
        <v>58</v>
      </c>
      <c r="C60" s="38">
        <v>56</v>
      </c>
      <c r="D60" s="38" t="s">
        <v>113</v>
      </c>
      <c r="E60" s="39" t="str">
        <f t="shared" si="5"/>
        <v>56 - Morbihan</v>
      </c>
      <c r="F60" s="37">
        <v>58</v>
      </c>
      <c r="G60" s="38" t="s">
        <v>47</v>
      </c>
      <c r="H60" s="38" t="s">
        <v>44</v>
      </c>
      <c r="I60" s="38">
        <v>0</v>
      </c>
      <c r="J60" s="38">
        <f t="shared" si="6"/>
        <v>3</v>
      </c>
      <c r="K60" s="38">
        <f t="shared" si="7"/>
        <v>-2</v>
      </c>
      <c r="L60" s="38">
        <f t="shared" si="8"/>
        <v>-5</v>
      </c>
      <c r="M60" s="38">
        <v>-2</v>
      </c>
      <c r="N60" s="42">
        <v>-4</v>
      </c>
      <c r="O60" s="38">
        <v>-4</v>
      </c>
      <c r="P60" s="38">
        <v>-5</v>
      </c>
      <c r="Q60" s="38" t="s">
        <v>2</v>
      </c>
      <c r="R60" s="38" t="s">
        <v>2</v>
      </c>
      <c r="S60" s="38" t="s">
        <v>2</v>
      </c>
      <c r="T60" s="38" t="s">
        <v>2</v>
      </c>
      <c r="U60" s="38" t="s">
        <v>2</v>
      </c>
      <c r="V60" s="38" t="s">
        <v>2</v>
      </c>
      <c r="W60" s="38" t="s">
        <v>2</v>
      </c>
      <c r="X60" s="38" t="s">
        <v>2</v>
      </c>
      <c r="Y60" s="38" t="s">
        <v>2</v>
      </c>
      <c r="Z60" s="38" t="s">
        <v>2</v>
      </c>
      <c r="AA60" s="38" t="s">
        <v>2</v>
      </c>
      <c r="AB60" s="40">
        <v>5100</v>
      </c>
      <c r="AC60" s="76">
        <v>48000</v>
      </c>
      <c r="AD60" s="38"/>
      <c r="AE60" s="38"/>
      <c r="AF60" s="38">
        <v>79</v>
      </c>
      <c r="AG60" s="38"/>
      <c r="AH60" s="38">
        <f t="shared" si="9"/>
        <v>79</v>
      </c>
      <c r="AI60" s="38"/>
      <c r="AJ60" s="38">
        <v>5</v>
      </c>
      <c r="AK60" s="38" t="s">
        <v>42</v>
      </c>
      <c r="AL60" s="38">
        <v>1450</v>
      </c>
      <c r="AM60" s="41">
        <v>1</v>
      </c>
    </row>
    <row r="61" spans="2:39" x14ac:dyDescent="0.2">
      <c r="B61" s="37">
        <v>59</v>
      </c>
      <c r="C61" s="38">
        <v>57</v>
      </c>
      <c r="D61" s="38" t="s">
        <v>114</v>
      </c>
      <c r="E61" s="39" t="str">
        <f t="shared" si="5"/>
        <v>57 - Moselle</v>
      </c>
      <c r="F61" s="37">
        <v>59</v>
      </c>
      <c r="G61" s="38" t="s">
        <v>40</v>
      </c>
      <c r="H61" s="38" t="s">
        <v>60</v>
      </c>
      <c r="I61" s="38">
        <v>2</v>
      </c>
      <c r="J61" s="38">
        <f t="shared" si="6"/>
        <v>8</v>
      </c>
      <c r="K61" s="38">
        <f t="shared" si="7"/>
        <v>-15</v>
      </c>
      <c r="L61" s="38">
        <f t="shared" si="8"/>
        <v>-20</v>
      </c>
      <c r="M61" s="38" t="s">
        <v>2</v>
      </c>
      <c r="N61" s="42" t="s">
        <v>2</v>
      </c>
      <c r="O61" s="38">
        <v>-15</v>
      </c>
      <c r="P61" s="38">
        <v>-15</v>
      </c>
      <c r="Q61" s="38">
        <v>-16</v>
      </c>
      <c r="R61" s="38">
        <v>-17</v>
      </c>
      <c r="S61" s="38">
        <v>-18</v>
      </c>
      <c r="T61" s="38">
        <v>-19</v>
      </c>
      <c r="U61" s="38">
        <v>-20</v>
      </c>
      <c r="V61" s="38" t="s">
        <v>2</v>
      </c>
      <c r="W61" s="38" t="s">
        <v>2</v>
      </c>
      <c r="X61" s="38" t="s">
        <v>2</v>
      </c>
      <c r="Y61" s="38" t="s">
        <v>2</v>
      </c>
      <c r="Z61" s="38" t="s">
        <v>2</v>
      </c>
      <c r="AA61" s="38" t="s">
        <v>2</v>
      </c>
      <c r="AB61" s="40">
        <v>5600</v>
      </c>
      <c r="AC61" s="76">
        <v>68000</v>
      </c>
      <c r="AD61" s="38"/>
      <c r="AE61" s="38"/>
      <c r="AF61" s="38">
        <v>69</v>
      </c>
      <c r="AG61" s="38"/>
      <c r="AH61" s="38">
        <f t="shared" si="9"/>
        <v>69</v>
      </c>
      <c r="AI61" s="38"/>
      <c r="AJ61" s="38"/>
      <c r="AK61" s="38" t="s">
        <v>38</v>
      </c>
      <c r="AL61" s="38">
        <v>1250</v>
      </c>
      <c r="AM61" s="41">
        <v>1</v>
      </c>
    </row>
    <row r="62" spans="2:39" x14ac:dyDescent="0.2">
      <c r="B62" s="37">
        <v>60</v>
      </c>
      <c r="C62" s="38">
        <v>58</v>
      </c>
      <c r="D62" s="38" t="s">
        <v>115</v>
      </c>
      <c r="E62" s="39" t="str">
        <f t="shared" si="5"/>
        <v>58 - Nièvre</v>
      </c>
      <c r="F62" s="37">
        <v>60</v>
      </c>
      <c r="G62" s="38" t="s">
        <v>40</v>
      </c>
      <c r="H62" s="38" t="s">
        <v>60</v>
      </c>
      <c r="I62" s="38">
        <v>2</v>
      </c>
      <c r="J62" s="38">
        <f t="shared" si="6"/>
        <v>12</v>
      </c>
      <c r="K62" s="38">
        <f t="shared" si="7"/>
        <v>-10</v>
      </c>
      <c r="L62" s="38">
        <f t="shared" si="8"/>
        <v>-20</v>
      </c>
      <c r="M62" s="38" t="s">
        <v>2</v>
      </c>
      <c r="N62" s="42" t="s">
        <v>2</v>
      </c>
      <c r="O62" s="38">
        <v>-10</v>
      </c>
      <c r="P62" s="38">
        <v>-11</v>
      </c>
      <c r="Q62" s="38">
        <v>-12</v>
      </c>
      <c r="R62" s="38">
        <v>-13</v>
      </c>
      <c r="S62" s="38">
        <v>-14</v>
      </c>
      <c r="T62" s="38">
        <v>-15</v>
      </c>
      <c r="U62" s="38">
        <v>-16</v>
      </c>
      <c r="V62" s="38">
        <v>-17</v>
      </c>
      <c r="W62" s="38">
        <v>-18</v>
      </c>
      <c r="X62" s="38">
        <v>-19</v>
      </c>
      <c r="Y62" s="38">
        <v>-20</v>
      </c>
      <c r="Z62" s="38" t="s">
        <v>2</v>
      </c>
      <c r="AA62" s="38" t="s">
        <v>2</v>
      </c>
      <c r="AB62" s="40">
        <v>5200</v>
      </c>
      <c r="AC62" s="76">
        <v>60800</v>
      </c>
      <c r="AD62" s="38"/>
      <c r="AE62" s="38"/>
      <c r="AF62" s="38">
        <v>76</v>
      </c>
      <c r="AG62" s="38"/>
      <c r="AH62" s="38">
        <f t="shared" si="9"/>
        <v>76</v>
      </c>
      <c r="AI62" s="38">
        <v>1.5</v>
      </c>
      <c r="AJ62" s="38"/>
      <c r="AK62" s="38" t="s">
        <v>42</v>
      </c>
      <c r="AL62" s="38">
        <v>1450</v>
      </c>
      <c r="AM62" s="41">
        <v>1</v>
      </c>
    </row>
    <row r="63" spans="2:39" x14ac:dyDescent="0.2">
      <c r="B63" s="37">
        <v>61</v>
      </c>
      <c r="C63" s="38">
        <v>59</v>
      </c>
      <c r="D63" s="38" t="s">
        <v>57</v>
      </c>
      <c r="E63" s="39" t="str">
        <f t="shared" si="5"/>
        <v>59 - Nord</v>
      </c>
      <c r="F63" s="37">
        <v>61</v>
      </c>
      <c r="G63" s="38" t="s">
        <v>40</v>
      </c>
      <c r="H63" s="38" t="s">
        <v>44</v>
      </c>
      <c r="I63" s="38">
        <v>0</v>
      </c>
      <c r="J63" s="38">
        <f t="shared" si="6"/>
        <v>3</v>
      </c>
      <c r="K63" s="38">
        <f t="shared" si="7"/>
        <v>-7</v>
      </c>
      <c r="L63" s="38">
        <f t="shared" si="8"/>
        <v>-10</v>
      </c>
      <c r="M63" s="38">
        <v>-7</v>
      </c>
      <c r="N63" s="42">
        <v>-9</v>
      </c>
      <c r="O63" s="38">
        <v>-9</v>
      </c>
      <c r="P63" s="38">
        <v>-10</v>
      </c>
      <c r="Q63" s="38" t="s">
        <v>2</v>
      </c>
      <c r="R63" s="38" t="s">
        <v>2</v>
      </c>
      <c r="S63" s="38" t="s">
        <v>2</v>
      </c>
      <c r="T63" s="38" t="s">
        <v>2</v>
      </c>
      <c r="U63" s="38" t="s">
        <v>2</v>
      </c>
      <c r="V63" s="38" t="s">
        <v>2</v>
      </c>
      <c r="W63" s="38" t="s">
        <v>2</v>
      </c>
      <c r="X63" s="38" t="s">
        <v>2</v>
      </c>
      <c r="Y63" s="38" t="s">
        <v>2</v>
      </c>
      <c r="Z63" s="38" t="s">
        <v>2</v>
      </c>
      <c r="AA63" s="38" t="s">
        <v>2</v>
      </c>
      <c r="AB63" s="40">
        <v>5500</v>
      </c>
      <c r="AC63" s="76">
        <v>60000</v>
      </c>
      <c r="AD63" s="38"/>
      <c r="AE63" s="38"/>
      <c r="AF63" s="38">
        <v>69</v>
      </c>
      <c r="AG63" s="38"/>
      <c r="AH63" s="38">
        <f t="shared" si="9"/>
        <v>69</v>
      </c>
      <c r="AI63" s="38"/>
      <c r="AJ63" s="38">
        <v>5</v>
      </c>
      <c r="AK63" s="38" t="s">
        <v>38</v>
      </c>
      <c r="AL63" s="38">
        <v>1250</v>
      </c>
      <c r="AM63" s="41">
        <v>1</v>
      </c>
    </row>
    <row r="64" spans="2:39" x14ac:dyDescent="0.2">
      <c r="B64" s="37">
        <v>62</v>
      </c>
      <c r="C64" s="38">
        <v>60</v>
      </c>
      <c r="D64" s="38" t="s">
        <v>116</v>
      </c>
      <c r="E64" s="39" t="str">
        <f t="shared" si="5"/>
        <v>60 - Oise</v>
      </c>
      <c r="F64" s="37">
        <v>62</v>
      </c>
      <c r="G64" s="38" t="s">
        <v>40</v>
      </c>
      <c r="H64" s="38" t="s">
        <v>44</v>
      </c>
      <c r="I64" s="38">
        <v>2</v>
      </c>
      <c r="J64" s="38">
        <f t="shared" si="6"/>
        <v>3</v>
      </c>
      <c r="K64" s="38">
        <f t="shared" si="7"/>
        <v>-7</v>
      </c>
      <c r="L64" s="38">
        <f t="shared" si="8"/>
        <v>-8</v>
      </c>
      <c r="M64" s="38" t="s">
        <v>2</v>
      </c>
      <c r="N64" s="42" t="s">
        <v>2</v>
      </c>
      <c r="O64" s="38">
        <v>-7</v>
      </c>
      <c r="P64" s="38">
        <v>-8</v>
      </c>
      <c r="Q64" s="38" t="s">
        <v>2</v>
      </c>
      <c r="R64" s="38" t="s">
        <v>2</v>
      </c>
      <c r="S64" s="38" t="s">
        <v>2</v>
      </c>
      <c r="T64" s="38" t="s">
        <v>2</v>
      </c>
      <c r="U64" s="38" t="s">
        <v>2</v>
      </c>
      <c r="V64" s="38" t="s">
        <v>2</v>
      </c>
      <c r="W64" s="38" t="s">
        <v>2</v>
      </c>
      <c r="X64" s="38" t="s">
        <v>2</v>
      </c>
      <c r="Y64" s="38" t="s">
        <v>2</v>
      </c>
      <c r="Z64" s="38" t="s">
        <v>2</v>
      </c>
      <c r="AA64" s="38" t="s">
        <v>2</v>
      </c>
      <c r="AB64" s="40">
        <v>5700</v>
      </c>
      <c r="AC64" s="76">
        <v>61200</v>
      </c>
      <c r="AD64" s="38"/>
      <c r="AE64" s="38"/>
      <c r="AF64" s="38">
        <v>75</v>
      </c>
      <c r="AG64" s="38"/>
      <c r="AH64" s="38">
        <f t="shared" si="9"/>
        <v>75</v>
      </c>
      <c r="AI64" s="38"/>
      <c r="AJ64" s="38"/>
      <c r="AK64" s="38" t="s">
        <v>38</v>
      </c>
      <c r="AL64" s="38">
        <v>1250</v>
      </c>
      <c r="AM64" s="41">
        <v>1</v>
      </c>
    </row>
    <row r="65" spans="2:39" x14ac:dyDescent="0.2">
      <c r="B65" s="37">
        <v>63</v>
      </c>
      <c r="C65" s="38">
        <v>61</v>
      </c>
      <c r="D65" s="38" t="s">
        <v>117</v>
      </c>
      <c r="E65" s="39" t="str">
        <f t="shared" si="5"/>
        <v>61 - Orne</v>
      </c>
      <c r="F65" s="37">
        <v>63</v>
      </c>
      <c r="G65" s="38" t="s">
        <v>40</v>
      </c>
      <c r="H65" s="38" t="s">
        <v>44</v>
      </c>
      <c r="I65" s="38">
        <v>2</v>
      </c>
      <c r="J65" s="38">
        <f t="shared" si="6"/>
        <v>4</v>
      </c>
      <c r="K65" s="38">
        <f t="shared" si="7"/>
        <v>-7</v>
      </c>
      <c r="L65" s="38">
        <f t="shared" si="8"/>
        <v>-9</v>
      </c>
      <c r="M65" s="38" t="s">
        <v>2</v>
      </c>
      <c r="N65" s="42" t="s">
        <v>2</v>
      </c>
      <c r="O65" s="38">
        <v>-7</v>
      </c>
      <c r="P65" s="38">
        <v>-8</v>
      </c>
      <c r="Q65" s="38">
        <v>-9</v>
      </c>
      <c r="R65" s="38" t="s">
        <v>2</v>
      </c>
      <c r="S65" s="38" t="s">
        <v>2</v>
      </c>
      <c r="T65" s="38" t="s">
        <v>2</v>
      </c>
      <c r="U65" s="38" t="s">
        <v>2</v>
      </c>
      <c r="V65" s="38" t="s">
        <v>2</v>
      </c>
      <c r="W65" s="38" t="s">
        <v>2</v>
      </c>
      <c r="X65" s="38" t="s">
        <v>2</v>
      </c>
      <c r="Y65" s="38" t="s">
        <v>2</v>
      </c>
      <c r="Z65" s="38" t="s">
        <v>2</v>
      </c>
      <c r="AA65" s="38" t="s">
        <v>2</v>
      </c>
      <c r="AB65" s="40">
        <v>5600</v>
      </c>
      <c r="AC65" s="76">
        <v>60900</v>
      </c>
      <c r="AD65" s="38"/>
      <c r="AE65" s="38"/>
      <c r="AF65" s="38">
        <v>79</v>
      </c>
      <c r="AG65" s="38"/>
      <c r="AH65" s="38">
        <f t="shared" si="9"/>
        <v>79</v>
      </c>
      <c r="AI65" s="38"/>
      <c r="AJ65" s="38"/>
      <c r="AK65" s="38" t="s">
        <v>38</v>
      </c>
      <c r="AL65" s="38">
        <v>1250</v>
      </c>
      <c r="AM65" s="41">
        <v>1</v>
      </c>
    </row>
    <row r="66" spans="2:39" x14ac:dyDescent="0.2">
      <c r="B66" s="37">
        <v>64</v>
      </c>
      <c r="C66" s="38">
        <v>62</v>
      </c>
      <c r="D66" s="38" t="s">
        <v>118</v>
      </c>
      <c r="E66" s="39" t="str">
        <f t="shared" si="5"/>
        <v>62 - Pas-de-Calais</v>
      </c>
      <c r="F66" s="37">
        <v>64</v>
      </c>
      <c r="G66" s="38" t="s">
        <v>40</v>
      </c>
      <c r="H66" s="38" t="s">
        <v>44</v>
      </c>
      <c r="I66" s="38">
        <v>0</v>
      </c>
      <c r="J66" s="38">
        <f t="shared" si="6"/>
        <v>3</v>
      </c>
      <c r="K66" s="38">
        <f t="shared" si="7"/>
        <v>-7</v>
      </c>
      <c r="L66" s="38">
        <f t="shared" si="8"/>
        <v>-10</v>
      </c>
      <c r="M66" s="38">
        <v>-7</v>
      </c>
      <c r="N66" s="42">
        <v>-9</v>
      </c>
      <c r="O66" s="38">
        <v>-9</v>
      </c>
      <c r="P66" s="38">
        <v>-10</v>
      </c>
      <c r="Q66" s="38" t="s">
        <v>2</v>
      </c>
      <c r="R66" s="38" t="s">
        <v>2</v>
      </c>
      <c r="S66" s="38" t="s">
        <v>2</v>
      </c>
      <c r="T66" s="38" t="s">
        <v>2</v>
      </c>
      <c r="U66" s="38" t="s">
        <v>2</v>
      </c>
      <c r="V66" s="38" t="s">
        <v>2</v>
      </c>
      <c r="W66" s="38" t="s">
        <v>2</v>
      </c>
      <c r="X66" s="38" t="s">
        <v>2</v>
      </c>
      <c r="Y66" s="38" t="s">
        <v>2</v>
      </c>
      <c r="Z66" s="38" t="s">
        <v>2</v>
      </c>
      <c r="AA66" s="38" t="s">
        <v>2</v>
      </c>
      <c r="AB66" s="40">
        <v>5500</v>
      </c>
      <c r="AC66" s="76">
        <v>60400</v>
      </c>
      <c r="AD66" s="38"/>
      <c r="AE66" s="38"/>
      <c r="AF66" s="38">
        <v>69</v>
      </c>
      <c r="AG66" s="38"/>
      <c r="AH66" s="38">
        <f t="shared" si="9"/>
        <v>69</v>
      </c>
      <c r="AI66" s="38"/>
      <c r="AJ66" s="38">
        <v>5</v>
      </c>
      <c r="AK66" s="38" t="s">
        <v>38</v>
      </c>
      <c r="AL66" s="38">
        <v>1250</v>
      </c>
      <c r="AM66" s="41">
        <v>1</v>
      </c>
    </row>
    <row r="67" spans="2:39" x14ac:dyDescent="0.2">
      <c r="B67" s="37">
        <v>65</v>
      </c>
      <c r="C67" s="38">
        <v>63</v>
      </c>
      <c r="D67" s="38" t="s">
        <v>119</v>
      </c>
      <c r="E67" s="39" t="str">
        <f t="shared" si="5"/>
        <v>63 - Puy-de-Dôme</v>
      </c>
      <c r="F67" s="37">
        <v>65</v>
      </c>
      <c r="G67" s="38" t="s">
        <v>40</v>
      </c>
      <c r="H67" s="38" t="s">
        <v>41</v>
      </c>
      <c r="I67" s="38">
        <v>2</v>
      </c>
      <c r="J67" s="38">
        <f t="shared" si="6"/>
        <v>13</v>
      </c>
      <c r="K67" s="38">
        <f t="shared" si="7"/>
        <v>-8</v>
      </c>
      <c r="L67" s="38">
        <f t="shared" si="8"/>
        <v>-19</v>
      </c>
      <c r="M67" s="38" t="s">
        <v>2</v>
      </c>
      <c r="N67" s="42" t="s">
        <v>2</v>
      </c>
      <c r="O67" s="38">
        <v>-8</v>
      </c>
      <c r="P67" s="38">
        <v>-9</v>
      </c>
      <c r="Q67" s="38">
        <v>-10</v>
      </c>
      <c r="R67" s="38">
        <v>-11</v>
      </c>
      <c r="S67" s="38">
        <v>-12</v>
      </c>
      <c r="T67" s="38">
        <v>-13</v>
      </c>
      <c r="U67" s="38">
        <v>-14</v>
      </c>
      <c r="V67" s="38">
        <v>-15</v>
      </c>
      <c r="W67" s="38">
        <v>-16</v>
      </c>
      <c r="X67" s="38">
        <v>-17</v>
      </c>
      <c r="Y67" s="38">
        <v>-18</v>
      </c>
      <c r="Z67" s="38">
        <v>-19</v>
      </c>
      <c r="AA67" s="38" t="s">
        <v>2</v>
      </c>
      <c r="AB67" s="40">
        <v>4800</v>
      </c>
      <c r="AC67" s="76">
        <v>60000</v>
      </c>
      <c r="AD67" s="38"/>
      <c r="AE67" s="38"/>
      <c r="AF67" s="38">
        <v>83</v>
      </c>
      <c r="AG67" s="38"/>
      <c r="AH67" s="38">
        <f t="shared" si="9"/>
        <v>83</v>
      </c>
      <c r="AI67" s="38">
        <v>1.5</v>
      </c>
      <c r="AJ67" s="38"/>
      <c r="AK67" s="38" t="s">
        <v>42</v>
      </c>
      <c r="AL67" s="38">
        <v>1450</v>
      </c>
      <c r="AM67" s="41">
        <v>1.1000000000000001</v>
      </c>
    </row>
    <row r="68" spans="2:39" x14ac:dyDescent="0.2">
      <c r="B68" s="37">
        <v>66</v>
      </c>
      <c r="C68" s="38">
        <v>64</v>
      </c>
      <c r="D68" s="38" t="s">
        <v>120</v>
      </c>
      <c r="E68" s="39" t="str">
        <f t="shared" ref="E68:E99" si="10">C68&amp;" - "&amp;D68</f>
        <v>64 - Pyrénées Atlantiques</v>
      </c>
      <c r="F68" s="37">
        <v>66</v>
      </c>
      <c r="G68" s="38" t="s">
        <v>47</v>
      </c>
      <c r="H68" s="38" t="s">
        <v>41</v>
      </c>
      <c r="I68" s="38">
        <v>0</v>
      </c>
      <c r="J68" s="38">
        <f t="shared" ref="J68:J99" si="11">MATCH(L68,M68:AA68,0)-1</f>
        <v>14</v>
      </c>
      <c r="K68" s="38">
        <f t="shared" ref="K68:K99" si="12">MAX(M68:AA68)</f>
        <v>-3</v>
      </c>
      <c r="L68" s="38">
        <f t="shared" ref="L68:L99" si="13">MIN(M68:AA68)</f>
        <v>-12</v>
      </c>
      <c r="M68" s="38">
        <v>-3</v>
      </c>
      <c r="N68" s="42">
        <v>-4</v>
      </c>
      <c r="O68" s="38">
        <v>-5</v>
      </c>
      <c r="P68" s="38">
        <v>-6</v>
      </c>
      <c r="Q68" s="38">
        <v>-7</v>
      </c>
      <c r="R68" s="38">
        <v>-7</v>
      </c>
      <c r="S68" s="38">
        <v>-8</v>
      </c>
      <c r="T68" s="38">
        <v>-8</v>
      </c>
      <c r="U68" s="38">
        <v>-9</v>
      </c>
      <c r="V68" s="38">
        <v>-9</v>
      </c>
      <c r="W68" s="38">
        <v>-10</v>
      </c>
      <c r="X68" s="38">
        <v>-10</v>
      </c>
      <c r="Y68" s="38">
        <v>-11</v>
      </c>
      <c r="Z68" s="38">
        <v>-11</v>
      </c>
      <c r="AA68" s="38">
        <v>-12</v>
      </c>
      <c r="AB68" s="40">
        <v>4200</v>
      </c>
      <c r="AC68" s="76">
        <v>38400</v>
      </c>
      <c r="AD68" s="38"/>
      <c r="AE68" s="38"/>
      <c r="AF68" s="38">
        <v>98</v>
      </c>
      <c r="AG68" s="38"/>
      <c r="AH68" s="38">
        <f t="shared" ref="AH68:AH99" si="14">IF(AG68=0,AF68,(AF68+AG68)/2)</f>
        <v>98</v>
      </c>
      <c r="AI68" s="38">
        <v>1.8</v>
      </c>
      <c r="AJ68" s="38">
        <v>5</v>
      </c>
      <c r="AK68" s="38" t="s">
        <v>53</v>
      </c>
      <c r="AL68" s="38">
        <v>1800</v>
      </c>
      <c r="AM68" s="41">
        <v>1.1000000000000001</v>
      </c>
    </row>
    <row r="69" spans="2:39" x14ac:dyDescent="0.2">
      <c r="B69" s="37">
        <v>67</v>
      </c>
      <c r="C69" s="38">
        <v>65</v>
      </c>
      <c r="D69" s="38" t="s">
        <v>121</v>
      </c>
      <c r="E69" s="39" t="str">
        <f t="shared" si="10"/>
        <v>65 - Hautes-Pyrénées</v>
      </c>
      <c r="F69" s="37">
        <v>67</v>
      </c>
      <c r="G69" s="38" t="s">
        <v>47</v>
      </c>
      <c r="H69" s="38" t="s">
        <v>41</v>
      </c>
      <c r="I69" s="38">
        <v>2</v>
      </c>
      <c r="J69" s="38">
        <f t="shared" si="11"/>
        <v>14</v>
      </c>
      <c r="K69" s="38">
        <f t="shared" si="12"/>
        <v>-5</v>
      </c>
      <c r="L69" s="38">
        <f t="shared" si="13"/>
        <v>-12</v>
      </c>
      <c r="M69" s="38" t="s">
        <v>2</v>
      </c>
      <c r="N69" s="42" t="s">
        <v>2</v>
      </c>
      <c r="O69" s="38">
        <v>-5</v>
      </c>
      <c r="P69" s="38">
        <v>-6</v>
      </c>
      <c r="Q69" s="38">
        <v>-7</v>
      </c>
      <c r="R69" s="38">
        <v>-7</v>
      </c>
      <c r="S69" s="38">
        <v>-8</v>
      </c>
      <c r="T69" s="38">
        <v>-8</v>
      </c>
      <c r="U69" s="38">
        <v>-9</v>
      </c>
      <c r="V69" s="38">
        <v>-9</v>
      </c>
      <c r="W69" s="38">
        <v>-10</v>
      </c>
      <c r="X69" s="38">
        <v>-10</v>
      </c>
      <c r="Y69" s="38">
        <v>-11</v>
      </c>
      <c r="Z69" s="38">
        <v>-11</v>
      </c>
      <c r="AA69" s="38">
        <v>-12</v>
      </c>
      <c r="AB69" s="40">
        <v>4600</v>
      </c>
      <c r="AC69" s="76">
        <v>52500</v>
      </c>
      <c r="AD69" s="38"/>
      <c r="AE69" s="38"/>
      <c r="AF69" s="38">
        <v>98</v>
      </c>
      <c r="AG69" s="38"/>
      <c r="AH69" s="38">
        <f t="shared" si="14"/>
        <v>98</v>
      </c>
      <c r="AI69" s="38">
        <v>1.5</v>
      </c>
      <c r="AJ69" s="38"/>
      <c r="AK69" s="38" t="s">
        <v>53</v>
      </c>
      <c r="AL69" s="38">
        <v>1800</v>
      </c>
      <c r="AM69" s="41">
        <v>1</v>
      </c>
    </row>
    <row r="70" spans="2:39" x14ac:dyDescent="0.2">
      <c r="B70" s="37">
        <v>68</v>
      </c>
      <c r="C70" s="38">
        <v>66</v>
      </c>
      <c r="D70" s="38" t="s">
        <v>122</v>
      </c>
      <c r="E70" s="39" t="str">
        <f t="shared" si="10"/>
        <v>66 - Pyrénées-orientales</v>
      </c>
      <c r="F70" s="37">
        <v>68</v>
      </c>
      <c r="G70" s="38" t="s">
        <v>55</v>
      </c>
      <c r="H70" s="38" t="s">
        <v>48</v>
      </c>
      <c r="I70" s="38">
        <v>0</v>
      </c>
      <c r="J70" s="38">
        <f t="shared" si="11"/>
        <v>14</v>
      </c>
      <c r="K70" s="38">
        <f t="shared" si="12"/>
        <v>-2</v>
      </c>
      <c r="L70" s="38">
        <f t="shared" si="13"/>
        <v>-12</v>
      </c>
      <c r="M70" s="38">
        <v>-2</v>
      </c>
      <c r="N70" s="42">
        <v>-4</v>
      </c>
      <c r="O70" s="38">
        <v>-5</v>
      </c>
      <c r="P70" s="38">
        <v>-6</v>
      </c>
      <c r="Q70" s="38">
        <v>-7</v>
      </c>
      <c r="R70" s="38">
        <v>-7</v>
      </c>
      <c r="S70" s="38">
        <v>-8</v>
      </c>
      <c r="T70" s="38">
        <v>-8</v>
      </c>
      <c r="U70" s="38">
        <v>-9</v>
      </c>
      <c r="V70" s="38">
        <v>-9</v>
      </c>
      <c r="W70" s="38">
        <v>-10</v>
      </c>
      <c r="X70" s="38">
        <v>-10</v>
      </c>
      <c r="Y70" s="38">
        <v>-11</v>
      </c>
      <c r="Z70" s="38">
        <v>-11</v>
      </c>
      <c r="AA70" s="38">
        <v>-12</v>
      </c>
      <c r="AB70" s="40">
        <v>3700</v>
      </c>
      <c r="AC70" s="76">
        <v>36000</v>
      </c>
      <c r="AD70" s="38" t="s">
        <v>64</v>
      </c>
      <c r="AE70" s="43" t="s">
        <v>65</v>
      </c>
      <c r="AF70" s="38">
        <v>140</v>
      </c>
      <c r="AG70" s="38">
        <v>127</v>
      </c>
      <c r="AH70" s="38">
        <f t="shared" si="14"/>
        <v>133.5</v>
      </c>
      <c r="AI70" s="38">
        <v>1.8</v>
      </c>
      <c r="AJ70" s="38">
        <v>5</v>
      </c>
      <c r="AK70" s="38" t="s">
        <v>49</v>
      </c>
      <c r="AL70" s="38">
        <v>2200</v>
      </c>
      <c r="AM70" s="41">
        <v>1.1000000000000001</v>
      </c>
    </row>
    <row r="71" spans="2:39" x14ac:dyDescent="0.2">
      <c r="B71" s="37">
        <v>69</v>
      </c>
      <c r="C71" s="38">
        <v>67</v>
      </c>
      <c r="D71" s="38" t="s">
        <v>123</v>
      </c>
      <c r="E71" s="39" t="str">
        <f t="shared" si="10"/>
        <v>67 - Bas-Rhin</v>
      </c>
      <c r="F71" s="37">
        <v>69</v>
      </c>
      <c r="G71" s="38" t="s">
        <v>40</v>
      </c>
      <c r="H71" s="38" t="s">
        <v>60</v>
      </c>
      <c r="I71" s="38">
        <v>2</v>
      </c>
      <c r="J71" s="38">
        <f t="shared" si="11"/>
        <v>8</v>
      </c>
      <c r="K71" s="38">
        <f t="shared" si="12"/>
        <v>-15</v>
      </c>
      <c r="L71" s="38">
        <f t="shared" si="13"/>
        <v>-20</v>
      </c>
      <c r="M71" s="38" t="s">
        <v>2</v>
      </c>
      <c r="N71" s="42" t="s">
        <v>2</v>
      </c>
      <c r="O71" s="38">
        <v>-15</v>
      </c>
      <c r="P71" s="38">
        <v>-15</v>
      </c>
      <c r="Q71" s="38">
        <v>-16</v>
      </c>
      <c r="R71" s="38">
        <v>-17</v>
      </c>
      <c r="S71" s="38">
        <v>-18</v>
      </c>
      <c r="T71" s="38">
        <v>-19</v>
      </c>
      <c r="U71" s="38">
        <v>-20</v>
      </c>
      <c r="V71" s="38" t="s">
        <v>2</v>
      </c>
      <c r="W71" s="38" t="s">
        <v>2</v>
      </c>
      <c r="X71" s="38" t="s">
        <v>2</v>
      </c>
      <c r="Y71" s="38" t="s">
        <v>2</v>
      </c>
      <c r="Z71" s="38" t="s">
        <v>2</v>
      </c>
      <c r="AA71" s="38" t="s">
        <v>2</v>
      </c>
      <c r="AB71" s="40">
        <v>5200</v>
      </c>
      <c r="AC71" s="76">
        <v>64800</v>
      </c>
      <c r="AD71" s="38"/>
      <c r="AE71" s="38"/>
      <c r="AF71" s="38">
        <v>66</v>
      </c>
      <c r="AG71" s="38"/>
      <c r="AH71" s="38">
        <f t="shared" si="14"/>
        <v>66</v>
      </c>
      <c r="AI71" s="38">
        <v>1.5</v>
      </c>
      <c r="AJ71" s="38"/>
      <c r="AK71" s="38" t="s">
        <v>38</v>
      </c>
      <c r="AL71" s="38">
        <v>1250</v>
      </c>
      <c r="AM71" s="41">
        <v>1</v>
      </c>
    </row>
    <row r="72" spans="2:39" x14ac:dyDescent="0.2">
      <c r="B72" s="37">
        <v>70</v>
      </c>
      <c r="C72" s="38">
        <v>68</v>
      </c>
      <c r="D72" s="38" t="s">
        <v>124</v>
      </c>
      <c r="E72" s="39" t="str">
        <f t="shared" si="10"/>
        <v>68 - Haut-Rhin</v>
      </c>
      <c r="F72" s="37">
        <v>70</v>
      </c>
      <c r="G72" s="38" t="s">
        <v>40</v>
      </c>
      <c r="H72" s="38" t="s">
        <v>60</v>
      </c>
      <c r="I72" s="38">
        <v>2</v>
      </c>
      <c r="J72" s="38">
        <f t="shared" si="11"/>
        <v>8</v>
      </c>
      <c r="K72" s="38">
        <f t="shared" si="12"/>
        <v>-15</v>
      </c>
      <c r="L72" s="38">
        <f t="shared" si="13"/>
        <v>-20</v>
      </c>
      <c r="M72" s="38" t="s">
        <v>2</v>
      </c>
      <c r="N72" s="42" t="s">
        <v>2</v>
      </c>
      <c r="O72" s="38">
        <v>-15</v>
      </c>
      <c r="P72" s="38">
        <v>-15</v>
      </c>
      <c r="Q72" s="38">
        <v>-16</v>
      </c>
      <c r="R72" s="38">
        <v>-17</v>
      </c>
      <c r="S72" s="38">
        <v>-18</v>
      </c>
      <c r="T72" s="38">
        <v>-19</v>
      </c>
      <c r="U72" s="38">
        <v>-20</v>
      </c>
      <c r="V72" s="38" t="s">
        <v>2</v>
      </c>
      <c r="W72" s="38" t="s">
        <v>2</v>
      </c>
      <c r="X72" s="38" t="s">
        <v>2</v>
      </c>
      <c r="Y72" s="38" t="s">
        <v>2</v>
      </c>
      <c r="Z72" s="38" t="s">
        <v>2</v>
      </c>
      <c r="AA72" s="38" t="s">
        <v>2</v>
      </c>
      <c r="AB72" s="40">
        <v>5300</v>
      </c>
      <c r="AC72" s="76">
        <v>64000</v>
      </c>
      <c r="AD72" s="38"/>
      <c r="AE72" s="38"/>
      <c r="AF72" s="38">
        <v>69</v>
      </c>
      <c r="AG72" s="38"/>
      <c r="AH72" s="38">
        <f t="shared" si="14"/>
        <v>69</v>
      </c>
      <c r="AI72" s="38">
        <v>1.5</v>
      </c>
      <c r="AJ72" s="38"/>
      <c r="AK72" s="38" t="s">
        <v>38</v>
      </c>
      <c r="AL72" s="38">
        <v>1250</v>
      </c>
      <c r="AM72" s="41">
        <v>1</v>
      </c>
    </row>
    <row r="73" spans="2:39" x14ac:dyDescent="0.2">
      <c r="B73" s="37">
        <v>71</v>
      </c>
      <c r="C73" s="38">
        <v>69</v>
      </c>
      <c r="D73" s="38" t="s">
        <v>125</v>
      </c>
      <c r="E73" s="39" t="str">
        <f t="shared" si="10"/>
        <v>69 - Rhône</v>
      </c>
      <c r="F73" s="37">
        <v>71</v>
      </c>
      <c r="G73" s="38" t="s">
        <v>40</v>
      </c>
      <c r="H73" s="38" t="s">
        <v>41</v>
      </c>
      <c r="I73" s="38">
        <v>2</v>
      </c>
      <c r="J73" s="38">
        <f t="shared" si="11"/>
        <v>12</v>
      </c>
      <c r="K73" s="38">
        <f t="shared" si="12"/>
        <v>-10</v>
      </c>
      <c r="L73" s="38">
        <f t="shared" si="13"/>
        <v>-20</v>
      </c>
      <c r="M73" s="38" t="s">
        <v>2</v>
      </c>
      <c r="N73" s="42" t="s">
        <v>2</v>
      </c>
      <c r="O73" s="38">
        <v>-10</v>
      </c>
      <c r="P73" s="38">
        <v>-11</v>
      </c>
      <c r="Q73" s="38">
        <v>-12</v>
      </c>
      <c r="R73" s="38">
        <v>-13</v>
      </c>
      <c r="S73" s="38">
        <v>-14</v>
      </c>
      <c r="T73" s="38">
        <v>-15</v>
      </c>
      <c r="U73" s="38">
        <v>-16</v>
      </c>
      <c r="V73" s="38">
        <v>-17</v>
      </c>
      <c r="W73" s="38">
        <v>-18</v>
      </c>
      <c r="X73" s="38">
        <v>-19</v>
      </c>
      <c r="Y73" s="38">
        <v>-20</v>
      </c>
      <c r="Z73" s="38" t="s">
        <v>2</v>
      </c>
      <c r="AA73" s="38" t="s">
        <v>2</v>
      </c>
      <c r="AB73" s="40">
        <v>4900</v>
      </c>
      <c r="AC73" s="76">
        <v>58800</v>
      </c>
      <c r="AD73" s="38"/>
      <c r="AE73" s="38"/>
      <c r="AF73" s="38">
        <v>80</v>
      </c>
      <c r="AG73" s="38"/>
      <c r="AH73" s="38">
        <f t="shared" si="14"/>
        <v>80</v>
      </c>
      <c r="AI73" s="38">
        <v>1.5</v>
      </c>
      <c r="AJ73" s="38"/>
      <c r="AK73" s="38" t="s">
        <v>42</v>
      </c>
      <c r="AL73" s="38">
        <v>1450</v>
      </c>
      <c r="AM73" s="41">
        <v>1</v>
      </c>
    </row>
    <row r="74" spans="2:39" x14ac:dyDescent="0.2">
      <c r="B74" s="37">
        <v>72</v>
      </c>
      <c r="C74" s="38">
        <v>70</v>
      </c>
      <c r="D74" s="38" t="s">
        <v>126</v>
      </c>
      <c r="E74" s="39" t="str">
        <f t="shared" si="10"/>
        <v>70 - Haute-Saône</v>
      </c>
      <c r="F74" s="37">
        <v>72</v>
      </c>
      <c r="G74" s="38" t="s">
        <v>40</v>
      </c>
      <c r="H74" s="38" t="s">
        <v>60</v>
      </c>
      <c r="I74" s="38">
        <v>2</v>
      </c>
      <c r="J74" s="38">
        <f t="shared" si="11"/>
        <v>12</v>
      </c>
      <c r="K74" s="38">
        <f t="shared" si="12"/>
        <v>-10</v>
      </c>
      <c r="L74" s="38">
        <f t="shared" si="13"/>
        <v>-20</v>
      </c>
      <c r="M74" s="38" t="s">
        <v>2</v>
      </c>
      <c r="N74" s="42" t="s">
        <v>2</v>
      </c>
      <c r="O74" s="38">
        <v>-10</v>
      </c>
      <c r="P74" s="38">
        <v>-11</v>
      </c>
      <c r="Q74" s="38">
        <v>-12</v>
      </c>
      <c r="R74" s="38">
        <v>-13</v>
      </c>
      <c r="S74" s="38">
        <v>-14</v>
      </c>
      <c r="T74" s="38">
        <v>-15</v>
      </c>
      <c r="U74" s="38">
        <v>-16</v>
      </c>
      <c r="V74" s="38">
        <v>-17</v>
      </c>
      <c r="W74" s="38">
        <v>-18</v>
      </c>
      <c r="X74" s="38">
        <v>-19</v>
      </c>
      <c r="Y74" s="38">
        <v>-20</v>
      </c>
      <c r="Z74" s="38" t="s">
        <v>2</v>
      </c>
      <c r="AA74" s="38" t="s">
        <v>2</v>
      </c>
      <c r="AB74" s="40">
        <v>5300</v>
      </c>
      <c r="AC74" s="76">
        <v>65000</v>
      </c>
      <c r="AD74" s="38"/>
      <c r="AE74" s="38"/>
      <c r="AF74" s="38">
        <v>71</v>
      </c>
      <c r="AG74" s="38"/>
      <c r="AH74" s="38">
        <f t="shared" si="14"/>
        <v>71</v>
      </c>
      <c r="AI74" s="38">
        <v>1.5</v>
      </c>
      <c r="AJ74" s="38"/>
      <c r="AK74" s="38" t="s">
        <v>38</v>
      </c>
      <c r="AL74" s="38">
        <v>1250</v>
      </c>
      <c r="AM74" s="41">
        <v>1</v>
      </c>
    </row>
    <row r="75" spans="2:39" x14ac:dyDescent="0.2">
      <c r="B75" s="37">
        <v>73</v>
      </c>
      <c r="C75" s="38">
        <v>71</v>
      </c>
      <c r="D75" s="38" t="s">
        <v>127</v>
      </c>
      <c r="E75" s="39" t="str">
        <f t="shared" si="10"/>
        <v>71 - Saône-et-Loire</v>
      </c>
      <c r="F75" s="37">
        <v>73</v>
      </c>
      <c r="G75" s="38" t="s">
        <v>40</v>
      </c>
      <c r="H75" s="38" t="s">
        <v>41</v>
      </c>
      <c r="I75" s="38">
        <v>2</v>
      </c>
      <c r="J75" s="38">
        <f t="shared" si="11"/>
        <v>12</v>
      </c>
      <c r="K75" s="38">
        <f t="shared" si="12"/>
        <v>-10</v>
      </c>
      <c r="L75" s="38">
        <f t="shared" si="13"/>
        <v>-20</v>
      </c>
      <c r="M75" s="38" t="s">
        <v>2</v>
      </c>
      <c r="N75" s="42" t="s">
        <v>2</v>
      </c>
      <c r="O75" s="38">
        <v>-10</v>
      </c>
      <c r="P75" s="38">
        <v>-11</v>
      </c>
      <c r="Q75" s="38">
        <v>-12</v>
      </c>
      <c r="R75" s="38">
        <v>-13</v>
      </c>
      <c r="S75" s="38">
        <v>-14</v>
      </c>
      <c r="T75" s="38">
        <v>-15</v>
      </c>
      <c r="U75" s="38">
        <v>-16</v>
      </c>
      <c r="V75" s="38">
        <v>-17</v>
      </c>
      <c r="W75" s="38">
        <v>-18</v>
      </c>
      <c r="X75" s="38">
        <v>-19</v>
      </c>
      <c r="Y75" s="38">
        <v>-20</v>
      </c>
      <c r="Z75" s="38" t="s">
        <v>2</v>
      </c>
      <c r="AA75" s="38" t="s">
        <v>2</v>
      </c>
      <c r="AB75" s="40">
        <v>5200</v>
      </c>
      <c r="AC75" s="76">
        <v>62400</v>
      </c>
      <c r="AD75" s="38"/>
      <c r="AE75" s="38"/>
      <c r="AF75" s="38">
        <v>74</v>
      </c>
      <c r="AG75" s="38"/>
      <c r="AH75" s="38">
        <f t="shared" si="14"/>
        <v>74</v>
      </c>
      <c r="AI75" s="38">
        <v>1.5</v>
      </c>
      <c r="AJ75" s="38"/>
      <c r="AK75" s="38" t="s">
        <v>42</v>
      </c>
      <c r="AL75" s="38">
        <v>1450</v>
      </c>
      <c r="AM75" s="41">
        <v>1</v>
      </c>
    </row>
    <row r="76" spans="2:39" x14ac:dyDescent="0.2">
      <c r="B76" s="37">
        <v>74</v>
      </c>
      <c r="C76" s="38">
        <v>72</v>
      </c>
      <c r="D76" s="38" t="s">
        <v>128</v>
      </c>
      <c r="E76" s="39" t="str">
        <f t="shared" si="10"/>
        <v>72 - Sarthe</v>
      </c>
      <c r="F76" s="37">
        <v>74</v>
      </c>
      <c r="G76" s="38" t="s">
        <v>47</v>
      </c>
      <c r="H76" s="38" t="s">
        <v>60</v>
      </c>
      <c r="I76" s="38">
        <v>2</v>
      </c>
      <c r="J76" s="38">
        <f t="shared" si="11"/>
        <v>3</v>
      </c>
      <c r="K76" s="38">
        <f t="shared" si="12"/>
        <v>-7</v>
      </c>
      <c r="L76" s="38">
        <f t="shared" si="13"/>
        <v>-8</v>
      </c>
      <c r="M76" s="38" t="s">
        <v>2</v>
      </c>
      <c r="N76" s="42" t="s">
        <v>2</v>
      </c>
      <c r="O76" s="38">
        <v>-7</v>
      </c>
      <c r="P76" s="38">
        <v>-8</v>
      </c>
      <c r="Q76" s="38" t="s">
        <v>2</v>
      </c>
      <c r="R76" s="38" t="s">
        <v>2</v>
      </c>
      <c r="S76" s="38" t="s">
        <v>2</v>
      </c>
      <c r="T76" s="38" t="s">
        <v>2</v>
      </c>
      <c r="U76" s="38" t="s">
        <v>2</v>
      </c>
      <c r="V76" s="38" t="s">
        <v>2</v>
      </c>
      <c r="W76" s="38" t="s">
        <v>2</v>
      </c>
      <c r="X76" s="38" t="s">
        <v>2</v>
      </c>
      <c r="Y76" s="38" t="s">
        <v>2</v>
      </c>
      <c r="Z76" s="38" t="s">
        <v>2</v>
      </c>
      <c r="AA76" s="38" t="s">
        <v>2</v>
      </c>
      <c r="AB76" s="40">
        <v>5300</v>
      </c>
      <c r="AC76" s="76">
        <v>57000</v>
      </c>
      <c r="AD76" s="38"/>
      <c r="AE76" s="38"/>
      <c r="AF76" s="38">
        <v>82</v>
      </c>
      <c r="AG76" s="38"/>
      <c r="AH76" s="38">
        <f t="shared" si="14"/>
        <v>82</v>
      </c>
      <c r="AI76" s="38"/>
      <c r="AJ76" s="38"/>
      <c r="AK76" s="38" t="s">
        <v>42</v>
      </c>
      <c r="AL76" s="38">
        <v>1450</v>
      </c>
      <c r="AM76" s="41">
        <v>1</v>
      </c>
    </row>
    <row r="77" spans="2:39" x14ac:dyDescent="0.2">
      <c r="B77" s="37">
        <v>75</v>
      </c>
      <c r="C77" s="38">
        <v>73</v>
      </c>
      <c r="D77" s="38" t="s">
        <v>129</v>
      </c>
      <c r="E77" s="39" t="str">
        <f t="shared" si="10"/>
        <v>73 - Savoie</v>
      </c>
      <c r="F77" s="37">
        <v>75</v>
      </c>
      <c r="G77" s="38" t="s">
        <v>40</v>
      </c>
      <c r="H77" s="38" t="s">
        <v>41</v>
      </c>
      <c r="I77" s="38">
        <v>2</v>
      </c>
      <c r="J77" s="38">
        <f t="shared" si="11"/>
        <v>12</v>
      </c>
      <c r="K77" s="38">
        <f t="shared" si="12"/>
        <v>-10</v>
      </c>
      <c r="L77" s="38">
        <f t="shared" si="13"/>
        <v>-20</v>
      </c>
      <c r="M77" s="38" t="s">
        <v>2</v>
      </c>
      <c r="N77" s="42" t="s">
        <v>2</v>
      </c>
      <c r="O77" s="38">
        <v>-10</v>
      </c>
      <c r="P77" s="38">
        <v>-11</v>
      </c>
      <c r="Q77" s="38">
        <v>-12</v>
      </c>
      <c r="R77" s="38">
        <v>-13</v>
      </c>
      <c r="S77" s="38">
        <v>-14</v>
      </c>
      <c r="T77" s="38">
        <v>-15</v>
      </c>
      <c r="U77" s="38">
        <v>-16</v>
      </c>
      <c r="V77" s="38">
        <v>-17</v>
      </c>
      <c r="W77" s="38">
        <v>-18</v>
      </c>
      <c r="X77" s="38">
        <v>-19</v>
      </c>
      <c r="Y77" s="38">
        <v>-20</v>
      </c>
      <c r="Z77" s="38" t="s">
        <v>2</v>
      </c>
      <c r="AA77" s="38" t="s">
        <v>2</v>
      </c>
      <c r="AB77" s="40">
        <v>4600</v>
      </c>
      <c r="AC77" s="76">
        <v>67100</v>
      </c>
      <c r="AD77" s="38"/>
      <c r="AE77" s="38"/>
      <c r="AF77" s="38">
        <v>100</v>
      </c>
      <c r="AG77" s="38"/>
      <c r="AH77" s="38">
        <f t="shared" si="14"/>
        <v>100</v>
      </c>
      <c r="AI77" s="38">
        <v>1.5</v>
      </c>
      <c r="AJ77" s="38"/>
      <c r="AK77" s="38" t="s">
        <v>42</v>
      </c>
      <c r="AL77" s="38">
        <v>1450</v>
      </c>
      <c r="AM77" s="41">
        <v>1.1000000000000001</v>
      </c>
    </row>
    <row r="78" spans="2:39" x14ac:dyDescent="0.2">
      <c r="B78" s="37">
        <v>76</v>
      </c>
      <c r="C78" s="38">
        <v>74</v>
      </c>
      <c r="D78" s="38" t="s">
        <v>130</v>
      </c>
      <c r="E78" s="39" t="str">
        <f t="shared" si="10"/>
        <v>74 - Haute-Savoie</v>
      </c>
      <c r="F78" s="37">
        <v>76</v>
      </c>
      <c r="G78" s="38" t="s">
        <v>40</v>
      </c>
      <c r="H78" s="38" t="s">
        <v>41</v>
      </c>
      <c r="I78" s="38">
        <v>2</v>
      </c>
      <c r="J78" s="38">
        <f t="shared" si="11"/>
        <v>12</v>
      </c>
      <c r="K78" s="38">
        <f t="shared" si="12"/>
        <v>-10</v>
      </c>
      <c r="L78" s="38">
        <f t="shared" si="13"/>
        <v>-20</v>
      </c>
      <c r="M78" s="38" t="s">
        <v>2</v>
      </c>
      <c r="N78" s="42" t="s">
        <v>2</v>
      </c>
      <c r="O78" s="38">
        <v>-10</v>
      </c>
      <c r="P78" s="38">
        <v>-11</v>
      </c>
      <c r="Q78" s="38">
        <v>-12</v>
      </c>
      <c r="R78" s="38">
        <v>-13</v>
      </c>
      <c r="S78" s="38">
        <v>-14</v>
      </c>
      <c r="T78" s="38">
        <v>-15</v>
      </c>
      <c r="U78" s="38">
        <v>-16</v>
      </c>
      <c r="V78" s="38">
        <v>-17</v>
      </c>
      <c r="W78" s="38">
        <v>-18</v>
      </c>
      <c r="X78" s="38">
        <v>-19</v>
      </c>
      <c r="Y78" s="38">
        <v>-20</v>
      </c>
      <c r="Z78" s="38" t="s">
        <v>2</v>
      </c>
      <c r="AA78" s="38" t="s">
        <v>2</v>
      </c>
      <c r="AB78" s="40">
        <v>4900</v>
      </c>
      <c r="AC78" s="76">
        <v>64100</v>
      </c>
      <c r="AD78" s="38"/>
      <c r="AE78" s="38"/>
      <c r="AF78" s="38">
        <v>80</v>
      </c>
      <c r="AG78" s="38"/>
      <c r="AH78" s="38">
        <f t="shared" si="14"/>
        <v>80</v>
      </c>
      <c r="AI78" s="38">
        <v>1.5</v>
      </c>
      <c r="AJ78" s="38"/>
      <c r="AK78" s="38" t="s">
        <v>42</v>
      </c>
      <c r="AL78" s="38">
        <v>1450</v>
      </c>
      <c r="AM78" s="41">
        <v>1</v>
      </c>
    </row>
    <row r="79" spans="2:39" x14ac:dyDescent="0.2">
      <c r="B79" s="37">
        <v>77</v>
      </c>
      <c r="C79" s="38">
        <v>75</v>
      </c>
      <c r="D79" s="38" t="s">
        <v>131</v>
      </c>
      <c r="E79" s="39" t="str">
        <f t="shared" si="10"/>
        <v>75 - Paris</v>
      </c>
      <c r="F79" s="37">
        <v>77</v>
      </c>
      <c r="G79" s="38" t="s">
        <v>40</v>
      </c>
      <c r="H79" s="38" t="s">
        <v>60</v>
      </c>
      <c r="I79" s="38">
        <v>2</v>
      </c>
      <c r="J79" s="38">
        <f t="shared" si="11"/>
        <v>2</v>
      </c>
      <c r="K79" s="38">
        <f t="shared" si="12"/>
        <v>-5</v>
      </c>
      <c r="L79" s="38">
        <f t="shared" si="13"/>
        <v>-5</v>
      </c>
      <c r="M79" s="38" t="s">
        <v>2</v>
      </c>
      <c r="N79" s="42" t="s">
        <v>2</v>
      </c>
      <c r="O79" s="38">
        <v>-5</v>
      </c>
      <c r="P79" s="38" t="s">
        <v>2</v>
      </c>
      <c r="Q79" s="38" t="s">
        <v>2</v>
      </c>
      <c r="R79" s="38" t="s">
        <v>2</v>
      </c>
      <c r="S79" s="38" t="s">
        <v>2</v>
      </c>
      <c r="T79" s="38" t="s">
        <v>2</v>
      </c>
      <c r="U79" s="38" t="s">
        <v>2</v>
      </c>
      <c r="V79" s="38" t="s">
        <v>2</v>
      </c>
      <c r="W79" s="38" t="s">
        <v>2</v>
      </c>
      <c r="X79" s="38" t="s">
        <v>2</v>
      </c>
      <c r="Y79" s="38" t="s">
        <v>2</v>
      </c>
      <c r="Z79" s="38" t="s">
        <v>2</v>
      </c>
      <c r="AA79" s="38" t="s">
        <v>2</v>
      </c>
      <c r="AB79" s="40">
        <v>5100</v>
      </c>
      <c r="AC79" s="76">
        <v>55000</v>
      </c>
      <c r="AD79" s="38"/>
      <c r="AE79" s="38"/>
      <c r="AF79" s="38">
        <v>66</v>
      </c>
      <c r="AG79" s="38"/>
      <c r="AH79" s="38">
        <f t="shared" si="14"/>
        <v>66</v>
      </c>
      <c r="AI79" s="38"/>
      <c r="AJ79" s="38"/>
      <c r="AK79" s="38" t="s">
        <v>38</v>
      </c>
      <c r="AL79" s="38">
        <v>1250</v>
      </c>
      <c r="AM79" s="41">
        <v>1</v>
      </c>
    </row>
    <row r="80" spans="2:39" x14ac:dyDescent="0.2">
      <c r="B80" s="37">
        <v>78</v>
      </c>
      <c r="C80" s="38">
        <v>76</v>
      </c>
      <c r="D80" s="38" t="s">
        <v>132</v>
      </c>
      <c r="E80" s="39" t="str">
        <f t="shared" si="10"/>
        <v>76 - Seine-Maritime</v>
      </c>
      <c r="F80" s="37">
        <v>78</v>
      </c>
      <c r="G80" s="38" t="s">
        <v>40</v>
      </c>
      <c r="H80" s="38" t="s">
        <v>44</v>
      </c>
      <c r="I80" s="38">
        <v>0</v>
      </c>
      <c r="J80" s="38">
        <f t="shared" si="11"/>
        <v>3</v>
      </c>
      <c r="K80" s="38">
        <f t="shared" si="12"/>
        <v>-5</v>
      </c>
      <c r="L80" s="38">
        <f t="shared" si="13"/>
        <v>-8</v>
      </c>
      <c r="M80" s="38">
        <v>-5</v>
      </c>
      <c r="N80" s="42">
        <v>-7</v>
      </c>
      <c r="O80" s="38">
        <v>-7</v>
      </c>
      <c r="P80" s="38">
        <v>-8</v>
      </c>
      <c r="Q80" s="38" t="s">
        <v>2</v>
      </c>
      <c r="R80" s="38" t="s">
        <v>2</v>
      </c>
      <c r="S80" s="38" t="s">
        <v>2</v>
      </c>
      <c r="T80" s="38" t="s">
        <v>2</v>
      </c>
      <c r="U80" s="38" t="s">
        <v>2</v>
      </c>
      <c r="V80" s="38" t="s">
        <v>2</v>
      </c>
      <c r="W80" s="38" t="s">
        <v>2</v>
      </c>
      <c r="X80" s="38" t="s">
        <v>2</v>
      </c>
      <c r="Y80" s="38" t="s">
        <v>2</v>
      </c>
      <c r="Z80" s="38" t="s">
        <v>2</v>
      </c>
      <c r="AA80" s="38" t="s">
        <v>2</v>
      </c>
      <c r="AB80" s="40">
        <v>5500</v>
      </c>
      <c r="AC80" s="76">
        <v>58000</v>
      </c>
      <c r="AD80" s="38"/>
      <c r="AE80" s="38"/>
      <c r="AF80" s="38">
        <v>76</v>
      </c>
      <c r="AG80" s="38"/>
      <c r="AH80" s="38">
        <f t="shared" si="14"/>
        <v>76</v>
      </c>
      <c r="AI80" s="38"/>
      <c r="AJ80" s="38">
        <v>5</v>
      </c>
      <c r="AK80" s="38" t="s">
        <v>38</v>
      </c>
      <c r="AL80" s="38">
        <v>1250</v>
      </c>
      <c r="AM80" s="41">
        <v>1</v>
      </c>
    </row>
    <row r="81" spans="2:39" x14ac:dyDescent="0.2">
      <c r="B81" s="37">
        <v>79</v>
      </c>
      <c r="C81" s="38">
        <v>77</v>
      </c>
      <c r="D81" s="38" t="s">
        <v>133</v>
      </c>
      <c r="E81" s="39" t="str">
        <f t="shared" si="10"/>
        <v>77 - Seine-et-Marne</v>
      </c>
      <c r="F81" s="37">
        <v>79</v>
      </c>
      <c r="G81" s="38" t="s">
        <v>40</v>
      </c>
      <c r="H81" s="38" t="s">
        <v>60</v>
      </c>
      <c r="I81" s="38">
        <v>2</v>
      </c>
      <c r="J81" s="38">
        <f t="shared" si="11"/>
        <v>3</v>
      </c>
      <c r="K81" s="38">
        <f t="shared" si="12"/>
        <v>-7</v>
      </c>
      <c r="L81" s="38">
        <f t="shared" si="13"/>
        <v>-8</v>
      </c>
      <c r="M81" s="38" t="s">
        <v>2</v>
      </c>
      <c r="N81" s="42" t="s">
        <v>2</v>
      </c>
      <c r="O81" s="38">
        <v>-7</v>
      </c>
      <c r="P81" s="38">
        <v>-8</v>
      </c>
      <c r="Q81" s="38" t="s">
        <v>2</v>
      </c>
      <c r="R81" s="38" t="s">
        <v>2</v>
      </c>
      <c r="S81" s="38" t="s">
        <v>2</v>
      </c>
      <c r="T81" s="38" t="s">
        <v>2</v>
      </c>
      <c r="U81" s="38" t="s">
        <v>2</v>
      </c>
      <c r="V81" s="38" t="s">
        <v>2</v>
      </c>
      <c r="W81" s="38" t="s">
        <v>2</v>
      </c>
      <c r="X81" s="38" t="s">
        <v>2</v>
      </c>
      <c r="Y81" s="38" t="s">
        <v>2</v>
      </c>
      <c r="Z81" s="38" t="s">
        <v>2</v>
      </c>
      <c r="AA81" s="38" t="s">
        <v>2</v>
      </c>
      <c r="AB81" s="40">
        <v>5500</v>
      </c>
      <c r="AC81" s="76">
        <v>60000</v>
      </c>
      <c r="AD81" s="38"/>
      <c r="AE81" s="38"/>
      <c r="AF81" s="38">
        <v>72</v>
      </c>
      <c r="AG81" s="38"/>
      <c r="AH81" s="38">
        <f t="shared" si="14"/>
        <v>72</v>
      </c>
      <c r="AI81" s="38"/>
      <c r="AJ81" s="38"/>
      <c r="AK81" s="38" t="s">
        <v>38</v>
      </c>
      <c r="AL81" s="38">
        <v>1250</v>
      </c>
      <c r="AM81" s="41">
        <v>1</v>
      </c>
    </row>
    <row r="82" spans="2:39" x14ac:dyDescent="0.2">
      <c r="B82" s="37">
        <v>80</v>
      </c>
      <c r="C82" s="38">
        <v>78</v>
      </c>
      <c r="D82" s="38" t="s">
        <v>134</v>
      </c>
      <c r="E82" s="39" t="str">
        <f t="shared" si="10"/>
        <v>78 - Yvelines</v>
      </c>
      <c r="F82" s="37">
        <v>80</v>
      </c>
      <c r="G82" s="38" t="s">
        <v>40</v>
      </c>
      <c r="H82" s="38" t="s">
        <v>60</v>
      </c>
      <c r="I82" s="38">
        <v>2</v>
      </c>
      <c r="J82" s="38">
        <f t="shared" si="11"/>
        <v>2</v>
      </c>
      <c r="K82" s="38">
        <f t="shared" si="12"/>
        <v>-7</v>
      </c>
      <c r="L82" s="38">
        <f t="shared" si="13"/>
        <v>-7</v>
      </c>
      <c r="M82" s="38" t="s">
        <v>2</v>
      </c>
      <c r="N82" s="42" t="s">
        <v>2</v>
      </c>
      <c r="O82" s="38">
        <v>-7</v>
      </c>
      <c r="P82" s="38" t="s">
        <v>2</v>
      </c>
      <c r="Q82" s="38" t="s">
        <v>2</v>
      </c>
      <c r="R82" s="38" t="s">
        <v>2</v>
      </c>
      <c r="S82" s="38" t="s">
        <v>2</v>
      </c>
      <c r="T82" s="38" t="s">
        <v>2</v>
      </c>
      <c r="U82" s="38" t="s">
        <v>2</v>
      </c>
      <c r="V82" s="38" t="s">
        <v>2</v>
      </c>
      <c r="W82" s="38" t="s">
        <v>2</v>
      </c>
      <c r="X82" s="38" t="s">
        <v>2</v>
      </c>
      <c r="Y82" s="38" t="s">
        <v>2</v>
      </c>
      <c r="Z82" s="38" t="s">
        <v>2</v>
      </c>
      <c r="AA82" s="38" t="s">
        <v>2</v>
      </c>
      <c r="AB82" s="40">
        <v>5800</v>
      </c>
      <c r="AC82" s="76">
        <v>63100</v>
      </c>
      <c r="AD82" s="38"/>
      <c r="AE82" s="38"/>
      <c r="AF82" s="38">
        <v>72</v>
      </c>
      <c r="AG82" s="38"/>
      <c r="AH82" s="38">
        <f t="shared" si="14"/>
        <v>72</v>
      </c>
      <c r="AI82" s="38"/>
      <c r="AJ82" s="38"/>
      <c r="AK82" s="38" t="s">
        <v>38</v>
      </c>
      <c r="AL82" s="38">
        <v>1250</v>
      </c>
      <c r="AM82" s="41">
        <v>1</v>
      </c>
    </row>
    <row r="83" spans="2:39" x14ac:dyDescent="0.2">
      <c r="B83" s="37">
        <v>81</v>
      </c>
      <c r="C83" s="38">
        <v>79</v>
      </c>
      <c r="D83" s="38" t="s">
        <v>135</v>
      </c>
      <c r="E83" s="39" t="str">
        <f t="shared" si="10"/>
        <v>79 - Deux-Sèvres</v>
      </c>
      <c r="F83" s="37">
        <v>81</v>
      </c>
      <c r="G83" s="38" t="s">
        <v>47</v>
      </c>
      <c r="H83" s="38" t="s">
        <v>60</v>
      </c>
      <c r="I83" s="38">
        <v>2</v>
      </c>
      <c r="J83" s="38">
        <f t="shared" si="11"/>
        <v>3</v>
      </c>
      <c r="K83" s="38">
        <f t="shared" si="12"/>
        <v>-7</v>
      </c>
      <c r="L83" s="38">
        <f t="shared" si="13"/>
        <v>-8</v>
      </c>
      <c r="M83" s="38" t="s">
        <v>2</v>
      </c>
      <c r="N83" s="42" t="s">
        <v>2</v>
      </c>
      <c r="O83" s="38">
        <v>-7</v>
      </c>
      <c r="P83" s="38">
        <v>-8</v>
      </c>
      <c r="Q83" s="38" t="s">
        <v>2</v>
      </c>
      <c r="R83" s="38" t="s">
        <v>2</v>
      </c>
      <c r="S83" s="38" t="s">
        <v>2</v>
      </c>
      <c r="T83" s="38" t="s">
        <v>2</v>
      </c>
      <c r="U83" s="38" t="s">
        <v>2</v>
      </c>
      <c r="V83" s="38" t="s">
        <v>2</v>
      </c>
      <c r="W83" s="38" t="s">
        <v>2</v>
      </c>
      <c r="X83" s="38" t="s">
        <v>2</v>
      </c>
      <c r="Y83" s="38" t="s">
        <v>2</v>
      </c>
      <c r="Z83" s="38" t="s">
        <v>2</v>
      </c>
      <c r="AA83" s="38" t="s">
        <v>2</v>
      </c>
      <c r="AB83" s="40">
        <v>5300</v>
      </c>
      <c r="AC83" s="76">
        <v>50400</v>
      </c>
      <c r="AD83" s="38"/>
      <c r="AE83" s="38"/>
      <c r="AF83" s="38">
        <v>85</v>
      </c>
      <c r="AG83" s="38"/>
      <c r="AH83" s="38">
        <f t="shared" si="14"/>
        <v>85</v>
      </c>
      <c r="AI83" s="38"/>
      <c r="AJ83" s="38"/>
      <c r="AK83" s="38" t="s">
        <v>42</v>
      </c>
      <c r="AL83" s="38">
        <v>1450</v>
      </c>
      <c r="AM83" s="41">
        <v>1</v>
      </c>
    </row>
    <row r="84" spans="2:39" x14ac:dyDescent="0.2">
      <c r="B84" s="37">
        <v>82</v>
      </c>
      <c r="C84" s="38">
        <v>80</v>
      </c>
      <c r="D84" s="38" t="s">
        <v>136</v>
      </c>
      <c r="E84" s="39" t="str">
        <f t="shared" si="10"/>
        <v>80 - Somme</v>
      </c>
      <c r="F84" s="37">
        <v>82</v>
      </c>
      <c r="G84" s="38" t="s">
        <v>40</v>
      </c>
      <c r="H84" s="38" t="s">
        <v>44</v>
      </c>
      <c r="I84" s="38">
        <v>0</v>
      </c>
      <c r="J84" s="38">
        <f t="shared" si="11"/>
        <v>3</v>
      </c>
      <c r="K84" s="38">
        <f t="shared" si="12"/>
        <v>-7</v>
      </c>
      <c r="L84" s="38">
        <f t="shared" si="13"/>
        <v>-10</v>
      </c>
      <c r="M84" s="38">
        <v>-7</v>
      </c>
      <c r="N84" s="42">
        <v>-8</v>
      </c>
      <c r="O84" s="38">
        <v>-9</v>
      </c>
      <c r="P84" s="38">
        <v>-10</v>
      </c>
      <c r="Q84" s="38" t="s">
        <v>2</v>
      </c>
      <c r="R84" s="38" t="s">
        <v>2</v>
      </c>
      <c r="S84" s="38" t="s">
        <v>2</v>
      </c>
      <c r="T84" s="38" t="s">
        <v>2</v>
      </c>
      <c r="U84" s="38" t="s">
        <v>2</v>
      </c>
      <c r="V84" s="38" t="s">
        <v>2</v>
      </c>
      <c r="W84" s="38" t="s">
        <v>2</v>
      </c>
      <c r="X84" s="38" t="s">
        <v>2</v>
      </c>
      <c r="Y84" s="38" t="s">
        <v>2</v>
      </c>
      <c r="Z84" s="38" t="s">
        <v>2</v>
      </c>
      <c r="AA84" s="38" t="s">
        <v>2</v>
      </c>
      <c r="AB84" s="40">
        <v>5800</v>
      </c>
      <c r="AC84" s="76">
        <v>62500</v>
      </c>
      <c r="AD84" s="38"/>
      <c r="AE84" s="38"/>
      <c r="AF84" s="38">
        <v>73</v>
      </c>
      <c r="AG84" s="38"/>
      <c r="AH84" s="38">
        <f t="shared" si="14"/>
        <v>73</v>
      </c>
      <c r="AI84" s="38"/>
      <c r="AJ84" s="38">
        <v>5</v>
      </c>
      <c r="AK84" s="38" t="s">
        <v>38</v>
      </c>
      <c r="AL84" s="38">
        <v>1250</v>
      </c>
      <c r="AM84" s="41">
        <v>1</v>
      </c>
    </row>
    <row r="85" spans="2:39" x14ac:dyDescent="0.2">
      <c r="B85" s="37">
        <v>83</v>
      </c>
      <c r="C85" s="38">
        <v>81</v>
      </c>
      <c r="D85" s="38" t="s">
        <v>137</v>
      </c>
      <c r="E85" s="39" t="str">
        <f t="shared" si="10"/>
        <v>81 - Tarn</v>
      </c>
      <c r="F85" s="37">
        <v>83</v>
      </c>
      <c r="G85" s="38" t="s">
        <v>47</v>
      </c>
      <c r="H85" s="38" t="s">
        <v>41</v>
      </c>
      <c r="I85" s="38">
        <v>2</v>
      </c>
      <c r="J85" s="38">
        <f t="shared" si="11"/>
        <v>14</v>
      </c>
      <c r="K85" s="38">
        <f t="shared" si="12"/>
        <v>-5</v>
      </c>
      <c r="L85" s="38">
        <f t="shared" si="13"/>
        <v>-12</v>
      </c>
      <c r="M85" s="38" t="s">
        <v>2</v>
      </c>
      <c r="N85" s="42" t="s">
        <v>2</v>
      </c>
      <c r="O85" s="38">
        <v>-5</v>
      </c>
      <c r="P85" s="38">
        <v>-6</v>
      </c>
      <c r="Q85" s="38">
        <v>-7</v>
      </c>
      <c r="R85" s="38">
        <v>-7</v>
      </c>
      <c r="S85" s="38">
        <v>-8</v>
      </c>
      <c r="T85" s="38">
        <v>-8</v>
      </c>
      <c r="U85" s="38">
        <v>-9</v>
      </c>
      <c r="V85" s="38">
        <v>-9</v>
      </c>
      <c r="W85" s="38">
        <v>-10</v>
      </c>
      <c r="X85" s="38">
        <v>-10</v>
      </c>
      <c r="Y85" s="38">
        <v>-11</v>
      </c>
      <c r="Z85" s="38">
        <v>-11</v>
      </c>
      <c r="AA85" s="38">
        <v>-12</v>
      </c>
      <c r="AB85" s="40">
        <v>4400</v>
      </c>
      <c r="AC85" s="76">
        <v>40000</v>
      </c>
      <c r="AD85" s="38"/>
      <c r="AE85" s="38"/>
      <c r="AF85" s="38">
        <v>100</v>
      </c>
      <c r="AG85" s="38"/>
      <c r="AH85" s="38">
        <f t="shared" si="14"/>
        <v>100</v>
      </c>
      <c r="AI85" s="38">
        <v>1.5</v>
      </c>
      <c r="AJ85" s="38"/>
      <c r="AK85" s="38" t="s">
        <v>53</v>
      </c>
      <c r="AL85" s="38">
        <v>1800</v>
      </c>
      <c r="AM85" s="41">
        <v>1</v>
      </c>
    </row>
    <row r="86" spans="2:39" x14ac:dyDescent="0.2">
      <c r="B86" s="37">
        <v>84</v>
      </c>
      <c r="C86" s="38">
        <v>82</v>
      </c>
      <c r="D86" s="38" t="s">
        <v>138</v>
      </c>
      <c r="E86" s="39" t="str">
        <f t="shared" si="10"/>
        <v>82 - Tarn-et-Garonne</v>
      </c>
      <c r="F86" s="37">
        <v>84</v>
      </c>
      <c r="G86" s="38" t="s">
        <v>47</v>
      </c>
      <c r="H86" s="38" t="s">
        <v>41</v>
      </c>
      <c r="I86" s="38">
        <v>1</v>
      </c>
      <c r="J86" s="38">
        <f t="shared" si="11"/>
        <v>3</v>
      </c>
      <c r="K86" s="38">
        <f t="shared" si="12"/>
        <v>-5</v>
      </c>
      <c r="L86" s="38">
        <f t="shared" si="13"/>
        <v>-6</v>
      </c>
      <c r="M86" s="38" t="s">
        <v>2</v>
      </c>
      <c r="N86" s="42" t="s">
        <v>2</v>
      </c>
      <c r="O86" s="38">
        <v>-5</v>
      </c>
      <c r="P86" s="38">
        <v>-6</v>
      </c>
      <c r="Q86" s="38" t="s">
        <v>2</v>
      </c>
      <c r="R86" s="38" t="s">
        <v>2</v>
      </c>
      <c r="S86" s="38" t="s">
        <v>2</v>
      </c>
      <c r="T86" s="38" t="s">
        <v>2</v>
      </c>
      <c r="U86" s="38" t="s">
        <v>2</v>
      </c>
      <c r="V86" s="38" t="s">
        <v>2</v>
      </c>
      <c r="W86" s="38" t="s">
        <v>2</v>
      </c>
      <c r="X86" s="38" t="s">
        <v>2</v>
      </c>
      <c r="Y86" s="38"/>
      <c r="Z86" s="38" t="s">
        <v>2</v>
      </c>
      <c r="AA86" s="38" t="s">
        <v>2</v>
      </c>
      <c r="AB86" s="40">
        <v>4800</v>
      </c>
      <c r="AC86" s="76">
        <v>49200</v>
      </c>
      <c r="AD86" s="38"/>
      <c r="AE86" s="38"/>
      <c r="AF86" s="38">
        <v>90</v>
      </c>
      <c r="AG86" s="38"/>
      <c r="AH86" s="38">
        <f t="shared" si="14"/>
        <v>90</v>
      </c>
      <c r="AI86" s="38"/>
      <c r="AJ86" s="38"/>
      <c r="AK86" s="38" t="s">
        <v>53</v>
      </c>
      <c r="AL86" s="38">
        <v>1800</v>
      </c>
      <c r="AM86" s="41">
        <v>1</v>
      </c>
    </row>
    <row r="87" spans="2:39" x14ac:dyDescent="0.2">
      <c r="B87" s="37">
        <v>85</v>
      </c>
      <c r="C87" s="38">
        <v>83</v>
      </c>
      <c r="D87" s="38" t="s">
        <v>139</v>
      </c>
      <c r="E87" s="39" t="str">
        <f t="shared" si="10"/>
        <v>83 - Var</v>
      </c>
      <c r="F87" s="37">
        <v>85</v>
      </c>
      <c r="G87" s="38" t="s">
        <v>55</v>
      </c>
      <c r="H87" s="38" t="s">
        <v>48</v>
      </c>
      <c r="I87" s="38">
        <v>1</v>
      </c>
      <c r="J87" s="38">
        <f t="shared" si="11"/>
        <v>14</v>
      </c>
      <c r="K87" s="38">
        <f t="shared" si="12"/>
        <v>0</v>
      </c>
      <c r="L87" s="38">
        <f t="shared" si="13"/>
        <v>-12</v>
      </c>
      <c r="M87" s="38">
        <v>0</v>
      </c>
      <c r="N87" s="42">
        <v>-2</v>
      </c>
      <c r="O87" s="38">
        <v>-5</v>
      </c>
      <c r="P87" s="38">
        <v>-6</v>
      </c>
      <c r="Q87" s="38">
        <v>-7</v>
      </c>
      <c r="R87" s="38">
        <v>-7</v>
      </c>
      <c r="S87" s="38">
        <v>-8</v>
      </c>
      <c r="T87" s="38">
        <v>-8</v>
      </c>
      <c r="U87" s="38">
        <v>-9</v>
      </c>
      <c r="V87" s="38">
        <v>-9</v>
      </c>
      <c r="W87" s="38">
        <v>-10</v>
      </c>
      <c r="X87" s="38">
        <v>-10</v>
      </c>
      <c r="Y87" s="38">
        <v>-11</v>
      </c>
      <c r="Z87" s="38">
        <v>-11</v>
      </c>
      <c r="AA87" s="38">
        <v>-12</v>
      </c>
      <c r="AB87" s="40">
        <v>3900</v>
      </c>
      <c r="AC87" s="76">
        <v>36000</v>
      </c>
      <c r="AD87" s="38"/>
      <c r="AE87" s="38"/>
      <c r="AF87" s="38">
        <v>132</v>
      </c>
      <c r="AG87" s="38"/>
      <c r="AH87" s="38">
        <f t="shared" si="14"/>
        <v>132</v>
      </c>
      <c r="AI87" s="38">
        <v>1.8</v>
      </c>
      <c r="AJ87" s="38">
        <v>5</v>
      </c>
      <c r="AK87" s="38" t="s">
        <v>49</v>
      </c>
      <c r="AL87" s="38">
        <v>2200</v>
      </c>
      <c r="AM87" s="41">
        <v>1.1000000000000001</v>
      </c>
    </row>
    <row r="88" spans="2:39" x14ac:dyDescent="0.2">
      <c r="B88" s="37">
        <v>86</v>
      </c>
      <c r="C88" s="38">
        <v>84</v>
      </c>
      <c r="D88" s="38" t="s">
        <v>140</v>
      </c>
      <c r="E88" s="39" t="str">
        <f t="shared" si="10"/>
        <v>84 - Vaucluse</v>
      </c>
      <c r="F88" s="37">
        <v>86</v>
      </c>
      <c r="G88" s="38" t="s">
        <v>47</v>
      </c>
      <c r="H88" s="38" t="s">
        <v>48</v>
      </c>
      <c r="I88" s="38">
        <v>2</v>
      </c>
      <c r="J88" s="38">
        <f t="shared" si="11"/>
        <v>10</v>
      </c>
      <c r="K88" s="38">
        <f t="shared" si="12"/>
        <v>-6</v>
      </c>
      <c r="L88" s="38">
        <f t="shared" si="13"/>
        <v>-14</v>
      </c>
      <c r="M88" s="38" t="s">
        <v>2</v>
      </c>
      <c r="N88" s="42" t="s">
        <v>2</v>
      </c>
      <c r="O88" s="38">
        <v>-6</v>
      </c>
      <c r="P88" s="38">
        <v>-7</v>
      </c>
      <c r="Q88" s="38">
        <v>-8</v>
      </c>
      <c r="R88" s="38">
        <v>-9</v>
      </c>
      <c r="S88" s="38">
        <v>-10</v>
      </c>
      <c r="T88" s="38">
        <v>-11</v>
      </c>
      <c r="U88" s="38">
        <v>-12</v>
      </c>
      <c r="V88" s="38">
        <v>-13</v>
      </c>
      <c r="W88" s="38">
        <v>-14</v>
      </c>
      <c r="X88" s="38" t="s">
        <v>2</v>
      </c>
      <c r="Y88" s="38" t="s">
        <v>2</v>
      </c>
      <c r="Z88" s="38" t="s">
        <v>2</v>
      </c>
      <c r="AA88" s="38" t="s">
        <v>2</v>
      </c>
      <c r="AB88" s="40">
        <v>4600</v>
      </c>
      <c r="AC88" s="76">
        <v>44000</v>
      </c>
      <c r="AD88" s="38"/>
      <c r="AE88" s="38"/>
      <c r="AF88" s="38">
        <v>126</v>
      </c>
      <c r="AG88" s="38"/>
      <c r="AH88" s="38">
        <f t="shared" si="14"/>
        <v>126</v>
      </c>
      <c r="AI88" s="38">
        <v>1.5</v>
      </c>
      <c r="AJ88" s="38"/>
      <c r="AK88" s="38" t="s">
        <v>49</v>
      </c>
      <c r="AL88" s="38">
        <v>2200</v>
      </c>
      <c r="AM88" s="41">
        <v>1.1000000000000001</v>
      </c>
    </row>
    <row r="89" spans="2:39" x14ac:dyDescent="0.2">
      <c r="B89" s="37">
        <v>87</v>
      </c>
      <c r="C89" s="38">
        <v>85</v>
      </c>
      <c r="D89" s="38" t="s">
        <v>141</v>
      </c>
      <c r="E89" s="39" t="str">
        <f t="shared" si="10"/>
        <v>85 - Vendée</v>
      </c>
      <c r="F89" s="37">
        <v>87</v>
      </c>
      <c r="G89" s="38" t="s">
        <v>47</v>
      </c>
      <c r="H89" s="38" t="s">
        <v>60</v>
      </c>
      <c r="I89" s="38">
        <v>0</v>
      </c>
      <c r="J89" s="38">
        <f t="shared" si="11"/>
        <v>3</v>
      </c>
      <c r="K89" s="38">
        <f t="shared" si="12"/>
        <v>-2</v>
      </c>
      <c r="L89" s="38">
        <f t="shared" si="13"/>
        <v>-6</v>
      </c>
      <c r="M89" s="38">
        <v>-2</v>
      </c>
      <c r="N89" s="42">
        <v>-4</v>
      </c>
      <c r="O89" s="38">
        <v>-5</v>
      </c>
      <c r="P89" s="38">
        <v>-6</v>
      </c>
      <c r="Q89" s="38" t="s">
        <v>2</v>
      </c>
      <c r="R89" s="38" t="s">
        <v>2</v>
      </c>
      <c r="S89" s="38" t="s">
        <v>2</v>
      </c>
      <c r="T89" s="38" t="s">
        <v>2</v>
      </c>
      <c r="U89" s="38" t="s">
        <v>2</v>
      </c>
      <c r="V89" s="38" t="s">
        <v>2</v>
      </c>
      <c r="W89" s="38" t="s">
        <v>2</v>
      </c>
      <c r="X89" s="38" t="s">
        <v>2</v>
      </c>
      <c r="Y89" s="38" t="s">
        <v>2</v>
      </c>
      <c r="Z89" s="38" t="s">
        <v>2</v>
      </c>
      <c r="AA89" s="38" t="s">
        <v>2</v>
      </c>
      <c r="AB89" s="40">
        <v>5200</v>
      </c>
      <c r="AC89" s="76">
        <v>50000</v>
      </c>
      <c r="AD89" s="38"/>
      <c r="AE89" s="38"/>
      <c r="AF89" s="38">
        <v>85</v>
      </c>
      <c r="AG89" s="38"/>
      <c r="AH89" s="38">
        <f t="shared" si="14"/>
        <v>85</v>
      </c>
      <c r="AI89" s="38"/>
      <c r="AJ89" s="38">
        <v>5</v>
      </c>
      <c r="AK89" s="38" t="s">
        <v>53</v>
      </c>
      <c r="AL89" s="38">
        <v>1800</v>
      </c>
      <c r="AM89" s="41">
        <v>1</v>
      </c>
    </row>
    <row r="90" spans="2:39" x14ac:dyDescent="0.2">
      <c r="B90" s="37">
        <v>88</v>
      </c>
      <c r="C90" s="38">
        <v>86</v>
      </c>
      <c r="D90" s="38" t="s">
        <v>142</v>
      </c>
      <c r="E90" s="39" t="str">
        <f t="shared" si="10"/>
        <v>86 - Vienne</v>
      </c>
      <c r="F90" s="37">
        <v>88</v>
      </c>
      <c r="G90" s="38" t="s">
        <v>47</v>
      </c>
      <c r="H90" s="38" t="s">
        <v>60</v>
      </c>
      <c r="I90" s="38">
        <v>2</v>
      </c>
      <c r="J90" s="38">
        <f t="shared" si="11"/>
        <v>3</v>
      </c>
      <c r="K90" s="38">
        <f t="shared" si="12"/>
        <v>-7</v>
      </c>
      <c r="L90" s="38">
        <f t="shared" si="13"/>
        <v>-8</v>
      </c>
      <c r="M90" s="38" t="s">
        <v>2</v>
      </c>
      <c r="N90" s="42" t="s">
        <v>2</v>
      </c>
      <c r="O90" s="38">
        <v>-7</v>
      </c>
      <c r="P90" s="38">
        <v>-8</v>
      </c>
      <c r="Q90" s="38" t="s">
        <v>2</v>
      </c>
      <c r="R90" s="38" t="s">
        <v>2</v>
      </c>
      <c r="S90" s="38" t="s">
        <v>2</v>
      </c>
      <c r="T90" s="38" t="s">
        <v>2</v>
      </c>
      <c r="U90" s="38" t="s">
        <v>2</v>
      </c>
      <c r="V90" s="38" t="s">
        <v>2</v>
      </c>
      <c r="W90" s="38" t="s">
        <v>2</v>
      </c>
      <c r="X90" s="38" t="s">
        <v>2</v>
      </c>
      <c r="Y90" s="38" t="s">
        <v>2</v>
      </c>
      <c r="Z90" s="38" t="s">
        <v>2</v>
      </c>
      <c r="AA90" s="38" t="s">
        <v>2</v>
      </c>
      <c r="AB90" s="40">
        <v>5300</v>
      </c>
      <c r="AC90" s="76">
        <v>56000</v>
      </c>
      <c r="AD90" s="38"/>
      <c r="AE90" s="38"/>
      <c r="AF90" s="38">
        <v>86</v>
      </c>
      <c r="AG90" s="38"/>
      <c r="AH90" s="38">
        <f t="shared" si="14"/>
        <v>86</v>
      </c>
      <c r="AI90" s="38"/>
      <c r="AJ90" s="38"/>
      <c r="AK90" s="38" t="s">
        <v>42</v>
      </c>
      <c r="AL90" s="38">
        <v>1450</v>
      </c>
      <c r="AM90" s="41">
        <v>1</v>
      </c>
    </row>
    <row r="91" spans="2:39" x14ac:dyDescent="0.2">
      <c r="B91" s="37">
        <v>89</v>
      </c>
      <c r="C91" s="38">
        <v>87</v>
      </c>
      <c r="D91" s="38" t="s">
        <v>143</v>
      </c>
      <c r="E91" s="39" t="str">
        <f t="shared" si="10"/>
        <v>87 - Haute-Vienne</v>
      </c>
      <c r="F91" s="37">
        <v>89</v>
      </c>
      <c r="G91" s="38" t="s">
        <v>40</v>
      </c>
      <c r="H91" s="38" t="s">
        <v>41</v>
      </c>
      <c r="I91" s="38">
        <v>2</v>
      </c>
      <c r="J91" s="38">
        <f t="shared" si="11"/>
        <v>13</v>
      </c>
      <c r="K91" s="38">
        <f t="shared" si="12"/>
        <v>-8</v>
      </c>
      <c r="L91" s="38">
        <f t="shared" si="13"/>
        <v>-19</v>
      </c>
      <c r="M91" s="38" t="s">
        <v>2</v>
      </c>
      <c r="N91" s="42" t="s">
        <v>2</v>
      </c>
      <c r="O91" s="38">
        <v>-8</v>
      </c>
      <c r="P91" s="38">
        <v>-9</v>
      </c>
      <c r="Q91" s="38">
        <v>-10</v>
      </c>
      <c r="R91" s="38">
        <v>-11</v>
      </c>
      <c r="S91" s="38">
        <v>-12</v>
      </c>
      <c r="T91" s="38">
        <v>-13</v>
      </c>
      <c r="U91" s="38">
        <v>-14</v>
      </c>
      <c r="V91" s="38">
        <v>-15</v>
      </c>
      <c r="W91" s="38">
        <v>-16</v>
      </c>
      <c r="X91" s="38">
        <v>-17</v>
      </c>
      <c r="Y91" s="38">
        <v>-18</v>
      </c>
      <c r="Z91" s="38">
        <v>-19</v>
      </c>
      <c r="AA91" s="38" t="s">
        <v>2</v>
      </c>
      <c r="AB91" s="40">
        <v>5200</v>
      </c>
      <c r="AC91" s="76">
        <v>60400</v>
      </c>
      <c r="AD91" s="38"/>
      <c r="AE91" s="38"/>
      <c r="AF91" s="38">
        <v>86</v>
      </c>
      <c r="AG91" s="38"/>
      <c r="AH91" s="38">
        <f t="shared" si="14"/>
        <v>86</v>
      </c>
      <c r="AI91" s="38">
        <v>1.5</v>
      </c>
      <c r="AJ91" s="38"/>
      <c r="AK91" s="38" t="s">
        <v>42</v>
      </c>
      <c r="AL91" s="38">
        <v>1450</v>
      </c>
      <c r="AM91" s="41">
        <v>1.1000000000000001</v>
      </c>
    </row>
    <row r="92" spans="2:39" x14ac:dyDescent="0.2">
      <c r="B92" s="37">
        <v>90</v>
      </c>
      <c r="C92" s="38">
        <v>88</v>
      </c>
      <c r="D92" s="38" t="s">
        <v>144</v>
      </c>
      <c r="E92" s="39" t="str">
        <f t="shared" si="10"/>
        <v>88 - Vosges</v>
      </c>
      <c r="F92" s="37">
        <v>90</v>
      </c>
      <c r="G92" s="38" t="s">
        <v>40</v>
      </c>
      <c r="H92" s="38" t="s">
        <v>60</v>
      </c>
      <c r="I92" s="38">
        <v>2</v>
      </c>
      <c r="J92" s="38">
        <f t="shared" si="11"/>
        <v>8</v>
      </c>
      <c r="K92" s="38">
        <f t="shared" si="12"/>
        <v>-15</v>
      </c>
      <c r="L92" s="38">
        <f t="shared" si="13"/>
        <v>-20</v>
      </c>
      <c r="M92" s="38" t="s">
        <v>2</v>
      </c>
      <c r="N92" s="42" t="s">
        <v>2</v>
      </c>
      <c r="O92" s="38">
        <v>-15</v>
      </c>
      <c r="P92" s="38">
        <v>-15</v>
      </c>
      <c r="Q92" s="38">
        <v>-16</v>
      </c>
      <c r="R92" s="38">
        <v>-17</v>
      </c>
      <c r="S92" s="38">
        <v>-18</v>
      </c>
      <c r="T92" s="38">
        <v>-19</v>
      </c>
      <c r="U92" s="38">
        <v>-20</v>
      </c>
      <c r="V92" s="38" t="s">
        <v>2</v>
      </c>
      <c r="W92" s="38" t="s">
        <v>2</v>
      </c>
      <c r="X92" s="38" t="s">
        <v>2</v>
      </c>
      <c r="Y92" s="38" t="s">
        <v>2</v>
      </c>
      <c r="Z92" s="38" t="s">
        <v>2</v>
      </c>
      <c r="AA92" s="38" t="s">
        <v>2</v>
      </c>
      <c r="AB92" s="40">
        <v>5300</v>
      </c>
      <c r="AC92" s="76">
        <v>65000</v>
      </c>
      <c r="AD92" s="38"/>
      <c r="AE92" s="38"/>
      <c r="AF92" s="38">
        <v>71</v>
      </c>
      <c r="AG92" s="38"/>
      <c r="AH92" s="38">
        <f t="shared" si="14"/>
        <v>71</v>
      </c>
      <c r="AI92" s="38">
        <v>1.5</v>
      </c>
      <c r="AJ92" s="38"/>
      <c r="AK92" s="38" t="s">
        <v>38</v>
      </c>
      <c r="AL92" s="38">
        <v>1250</v>
      </c>
      <c r="AM92" s="41">
        <v>1</v>
      </c>
    </row>
    <row r="93" spans="2:39" x14ac:dyDescent="0.2">
      <c r="B93" s="37">
        <v>91</v>
      </c>
      <c r="C93" s="38">
        <v>89</v>
      </c>
      <c r="D93" s="38" t="s">
        <v>145</v>
      </c>
      <c r="E93" s="39" t="str">
        <f t="shared" si="10"/>
        <v>89 - Yonne</v>
      </c>
      <c r="F93" s="37">
        <v>91</v>
      </c>
      <c r="G93" s="38" t="s">
        <v>40</v>
      </c>
      <c r="H93" s="38" t="s">
        <v>60</v>
      </c>
      <c r="I93" s="38">
        <v>2</v>
      </c>
      <c r="J93" s="38">
        <f t="shared" si="11"/>
        <v>6</v>
      </c>
      <c r="K93" s="38">
        <f t="shared" si="12"/>
        <v>-10</v>
      </c>
      <c r="L93" s="38">
        <f t="shared" si="13"/>
        <v>-14</v>
      </c>
      <c r="M93" s="38" t="s">
        <v>2</v>
      </c>
      <c r="N93" s="42" t="s">
        <v>2</v>
      </c>
      <c r="O93" s="38">
        <v>-10</v>
      </c>
      <c r="P93" s="38">
        <v>-11</v>
      </c>
      <c r="Q93" s="38">
        <v>-12</v>
      </c>
      <c r="R93" s="38">
        <v>-13</v>
      </c>
      <c r="S93" s="38">
        <v>-14</v>
      </c>
      <c r="T93" s="38" t="s">
        <v>2</v>
      </c>
      <c r="U93" s="38" t="s">
        <v>2</v>
      </c>
      <c r="V93" s="38" t="s">
        <v>2</v>
      </c>
      <c r="W93" s="38" t="s">
        <v>2</v>
      </c>
      <c r="X93" s="38" t="s">
        <v>2</v>
      </c>
      <c r="Y93" s="38" t="s">
        <v>2</v>
      </c>
      <c r="Z93" s="38" t="s">
        <v>2</v>
      </c>
      <c r="AA93" s="38" t="s">
        <v>2</v>
      </c>
      <c r="AB93" s="40">
        <v>5400</v>
      </c>
      <c r="AC93" s="76">
        <v>60700</v>
      </c>
      <c r="AD93" s="38"/>
      <c r="AE93" s="38"/>
      <c r="AF93" s="38">
        <v>76</v>
      </c>
      <c r="AG93" s="38"/>
      <c r="AH93" s="38">
        <f t="shared" si="14"/>
        <v>76</v>
      </c>
      <c r="AI93" s="38"/>
      <c r="AJ93" s="38"/>
      <c r="AK93" s="38" t="s">
        <v>42</v>
      </c>
      <c r="AL93" s="38">
        <v>1450</v>
      </c>
      <c r="AM93" s="41">
        <v>1</v>
      </c>
    </row>
    <row r="94" spans="2:39" x14ac:dyDescent="0.2">
      <c r="B94" s="37">
        <v>92</v>
      </c>
      <c r="C94" s="38">
        <v>90</v>
      </c>
      <c r="D94" s="38" t="s">
        <v>146</v>
      </c>
      <c r="E94" s="39" t="str">
        <f t="shared" si="10"/>
        <v>90 - Territoire-de-Belfort</v>
      </c>
      <c r="F94" s="37">
        <v>92</v>
      </c>
      <c r="G94" s="38" t="s">
        <v>40</v>
      </c>
      <c r="H94" s="38" t="s">
        <v>60</v>
      </c>
      <c r="I94" s="38">
        <v>2</v>
      </c>
      <c r="J94" s="38">
        <f t="shared" si="11"/>
        <v>8</v>
      </c>
      <c r="K94" s="38">
        <f t="shared" si="12"/>
        <v>-15</v>
      </c>
      <c r="L94" s="38">
        <f t="shared" si="13"/>
        <v>-20</v>
      </c>
      <c r="M94" s="38" t="s">
        <v>2</v>
      </c>
      <c r="N94" s="42" t="s">
        <v>2</v>
      </c>
      <c r="O94" s="38">
        <v>-15</v>
      </c>
      <c r="P94" s="38">
        <v>-15</v>
      </c>
      <c r="Q94" s="38">
        <v>-16</v>
      </c>
      <c r="R94" s="38">
        <v>-17</v>
      </c>
      <c r="S94" s="38">
        <v>-18</v>
      </c>
      <c r="T94" s="38">
        <v>-19</v>
      </c>
      <c r="U94" s="38">
        <v>-20</v>
      </c>
      <c r="V94" s="38" t="s">
        <v>2</v>
      </c>
      <c r="W94" s="38" t="s">
        <v>2</v>
      </c>
      <c r="X94" s="38" t="s">
        <v>2</v>
      </c>
      <c r="Y94" s="38" t="s">
        <v>2</v>
      </c>
      <c r="Z94" s="38" t="s">
        <v>2</v>
      </c>
      <c r="AA94" s="38" t="s">
        <v>2</v>
      </c>
      <c r="AB94" s="40">
        <v>5300</v>
      </c>
      <c r="AC94" s="76">
        <v>67000</v>
      </c>
      <c r="AD94" s="38"/>
      <c r="AE94" s="38"/>
      <c r="AF94" s="38">
        <v>70</v>
      </c>
      <c r="AG94" s="38"/>
      <c r="AH94" s="38">
        <f t="shared" si="14"/>
        <v>70</v>
      </c>
      <c r="AI94" s="38">
        <v>1.5</v>
      </c>
      <c r="AJ94" s="38"/>
      <c r="AK94" s="38" t="s">
        <v>38</v>
      </c>
      <c r="AL94" s="38">
        <v>1250</v>
      </c>
      <c r="AM94" s="41">
        <v>1</v>
      </c>
    </row>
    <row r="95" spans="2:39" x14ac:dyDescent="0.2">
      <c r="B95" s="37">
        <v>93</v>
      </c>
      <c r="C95" s="38">
        <v>91</v>
      </c>
      <c r="D95" s="38" t="s">
        <v>147</v>
      </c>
      <c r="E95" s="39" t="str">
        <f t="shared" si="10"/>
        <v>91 - Essone</v>
      </c>
      <c r="F95" s="37">
        <v>93</v>
      </c>
      <c r="G95" s="38" t="s">
        <v>40</v>
      </c>
      <c r="H95" s="38" t="s">
        <v>60</v>
      </c>
      <c r="I95" s="38">
        <v>2</v>
      </c>
      <c r="J95" s="38">
        <f t="shared" si="11"/>
        <v>2</v>
      </c>
      <c r="K95" s="38">
        <f t="shared" si="12"/>
        <v>-7</v>
      </c>
      <c r="L95" s="38">
        <f t="shared" si="13"/>
        <v>-7</v>
      </c>
      <c r="M95" s="38" t="s">
        <v>2</v>
      </c>
      <c r="N95" s="42" t="s">
        <v>2</v>
      </c>
      <c r="O95" s="38">
        <v>-7</v>
      </c>
      <c r="P95" s="38" t="s">
        <v>2</v>
      </c>
      <c r="Q95" s="38" t="s">
        <v>2</v>
      </c>
      <c r="R95" s="38" t="s">
        <v>2</v>
      </c>
      <c r="S95" s="38" t="s">
        <v>2</v>
      </c>
      <c r="T95" s="38" t="s">
        <v>2</v>
      </c>
      <c r="U95" s="38" t="s">
        <v>2</v>
      </c>
      <c r="V95" s="38" t="s">
        <v>2</v>
      </c>
      <c r="W95" s="38" t="s">
        <v>2</v>
      </c>
      <c r="X95" s="38" t="s">
        <v>2</v>
      </c>
      <c r="Y95" s="38" t="s">
        <v>2</v>
      </c>
      <c r="Z95" s="38" t="s">
        <v>2</v>
      </c>
      <c r="AA95" s="38" t="s">
        <v>2</v>
      </c>
      <c r="AB95" s="40">
        <v>5500</v>
      </c>
      <c r="AC95" s="76">
        <v>61000</v>
      </c>
      <c r="AD95" s="38"/>
      <c r="AE95" s="38"/>
      <c r="AF95" s="38">
        <v>72</v>
      </c>
      <c r="AG95" s="38"/>
      <c r="AH95" s="38">
        <f t="shared" si="14"/>
        <v>72</v>
      </c>
      <c r="AI95" s="38"/>
      <c r="AJ95" s="38"/>
      <c r="AK95" s="38" t="s">
        <v>38</v>
      </c>
      <c r="AL95" s="38">
        <v>1250</v>
      </c>
      <c r="AM95" s="41">
        <v>1</v>
      </c>
    </row>
    <row r="96" spans="2:39" x14ac:dyDescent="0.2">
      <c r="B96" s="37">
        <v>94</v>
      </c>
      <c r="C96" s="38">
        <v>92</v>
      </c>
      <c r="D96" s="38" t="s">
        <v>148</v>
      </c>
      <c r="E96" s="39" t="str">
        <f t="shared" si="10"/>
        <v>92 - Hauts-de-Seine</v>
      </c>
      <c r="F96" s="37">
        <v>94</v>
      </c>
      <c r="G96" s="38" t="s">
        <v>40</v>
      </c>
      <c r="H96" s="38" t="s">
        <v>60</v>
      </c>
      <c r="I96" s="38">
        <v>2</v>
      </c>
      <c r="J96" s="38">
        <f t="shared" si="11"/>
        <v>2</v>
      </c>
      <c r="K96" s="38">
        <f t="shared" si="12"/>
        <v>-7</v>
      </c>
      <c r="L96" s="38">
        <f t="shared" si="13"/>
        <v>-7</v>
      </c>
      <c r="M96" s="38" t="s">
        <v>2</v>
      </c>
      <c r="N96" s="42" t="s">
        <v>2</v>
      </c>
      <c r="O96" s="38">
        <v>-7</v>
      </c>
      <c r="P96" s="38" t="s">
        <v>2</v>
      </c>
      <c r="Q96" s="38" t="s">
        <v>2</v>
      </c>
      <c r="R96" s="38" t="s">
        <v>2</v>
      </c>
      <c r="S96" s="38" t="s">
        <v>2</v>
      </c>
      <c r="T96" s="38" t="s">
        <v>2</v>
      </c>
      <c r="U96" s="38" t="s">
        <v>2</v>
      </c>
      <c r="V96" s="38" t="s">
        <v>2</v>
      </c>
      <c r="W96" s="38" t="s">
        <v>2</v>
      </c>
      <c r="X96" s="38" t="s">
        <v>2</v>
      </c>
      <c r="Y96" s="38" t="s">
        <v>2</v>
      </c>
      <c r="Z96" s="38" t="s">
        <v>2</v>
      </c>
      <c r="AA96" s="38" t="s">
        <v>2</v>
      </c>
      <c r="AB96" s="40">
        <v>5300</v>
      </c>
      <c r="AC96" s="76">
        <v>58000</v>
      </c>
      <c r="AD96" s="38"/>
      <c r="AE96" s="38"/>
      <c r="AF96" s="38">
        <v>66</v>
      </c>
      <c r="AG96" s="38"/>
      <c r="AH96" s="38">
        <f t="shared" si="14"/>
        <v>66</v>
      </c>
      <c r="AI96" s="38"/>
      <c r="AJ96" s="38"/>
      <c r="AK96" s="38" t="s">
        <v>38</v>
      </c>
      <c r="AL96" s="38">
        <v>1250</v>
      </c>
      <c r="AM96" s="41">
        <v>1</v>
      </c>
    </row>
    <row r="97" spans="1:39" x14ac:dyDescent="0.2">
      <c r="B97" s="37">
        <v>95</v>
      </c>
      <c r="C97" s="38">
        <v>93</v>
      </c>
      <c r="D97" s="38" t="s">
        <v>149</v>
      </c>
      <c r="E97" s="39" t="str">
        <f t="shared" si="10"/>
        <v>93 - Seine-Saint-Denis</v>
      </c>
      <c r="F97" s="37">
        <v>95</v>
      </c>
      <c r="G97" s="38" t="s">
        <v>40</v>
      </c>
      <c r="H97" s="38" t="s">
        <v>60</v>
      </c>
      <c r="I97" s="38">
        <v>2</v>
      </c>
      <c r="J97" s="38">
        <f t="shared" si="11"/>
        <v>2</v>
      </c>
      <c r="K97" s="38">
        <f t="shared" si="12"/>
        <v>-7</v>
      </c>
      <c r="L97" s="38">
        <f t="shared" si="13"/>
        <v>-7</v>
      </c>
      <c r="M97" s="38" t="s">
        <v>2</v>
      </c>
      <c r="N97" s="42" t="s">
        <v>2</v>
      </c>
      <c r="O97" s="38">
        <v>-7</v>
      </c>
      <c r="P97" s="38" t="s">
        <v>2</v>
      </c>
      <c r="Q97" s="38" t="s">
        <v>2</v>
      </c>
      <c r="R97" s="38" t="s">
        <v>2</v>
      </c>
      <c r="S97" s="38" t="s">
        <v>2</v>
      </c>
      <c r="T97" s="38" t="s">
        <v>2</v>
      </c>
      <c r="U97" s="38" t="s">
        <v>2</v>
      </c>
      <c r="V97" s="38" t="s">
        <v>2</v>
      </c>
      <c r="W97" s="38" t="s">
        <v>2</v>
      </c>
      <c r="X97" s="38" t="s">
        <v>2</v>
      </c>
      <c r="Y97" s="38" t="s">
        <v>2</v>
      </c>
      <c r="Z97" s="38" t="s">
        <v>2</v>
      </c>
      <c r="AA97" s="38" t="s">
        <v>2</v>
      </c>
      <c r="AB97" s="40">
        <v>5300</v>
      </c>
      <c r="AC97" s="76">
        <v>58000</v>
      </c>
      <c r="AD97" s="38"/>
      <c r="AE97" s="38"/>
      <c r="AF97" s="38">
        <v>66</v>
      </c>
      <c r="AG97" s="38"/>
      <c r="AH97" s="38">
        <f t="shared" si="14"/>
        <v>66</v>
      </c>
      <c r="AI97" s="38"/>
      <c r="AJ97" s="38"/>
      <c r="AK97" s="38" t="s">
        <v>38</v>
      </c>
      <c r="AL97" s="38">
        <v>1250</v>
      </c>
      <c r="AM97" s="41">
        <v>1</v>
      </c>
    </row>
    <row r="98" spans="1:39" x14ac:dyDescent="0.2">
      <c r="B98" s="37">
        <v>96</v>
      </c>
      <c r="C98" s="38">
        <v>94</v>
      </c>
      <c r="D98" s="38" t="s">
        <v>150</v>
      </c>
      <c r="E98" s="39" t="str">
        <f t="shared" si="10"/>
        <v>94 - Val-de-Marne</v>
      </c>
      <c r="F98" s="37">
        <v>96</v>
      </c>
      <c r="G98" s="38" t="s">
        <v>40</v>
      </c>
      <c r="H98" s="38" t="s">
        <v>60</v>
      </c>
      <c r="I98" s="38">
        <v>2</v>
      </c>
      <c r="J98" s="38">
        <f t="shared" si="11"/>
        <v>2</v>
      </c>
      <c r="K98" s="38">
        <f t="shared" si="12"/>
        <v>-7</v>
      </c>
      <c r="L98" s="38">
        <f t="shared" si="13"/>
        <v>-7</v>
      </c>
      <c r="M98" s="38" t="s">
        <v>2</v>
      </c>
      <c r="N98" s="42" t="s">
        <v>2</v>
      </c>
      <c r="O98" s="38">
        <v>-7</v>
      </c>
      <c r="P98" s="38" t="s">
        <v>2</v>
      </c>
      <c r="Q98" s="38" t="s">
        <v>2</v>
      </c>
      <c r="R98" s="38" t="s">
        <v>2</v>
      </c>
      <c r="S98" s="38" t="s">
        <v>2</v>
      </c>
      <c r="T98" s="38" t="s">
        <v>2</v>
      </c>
      <c r="U98" s="38" t="s">
        <v>2</v>
      </c>
      <c r="V98" s="38" t="s">
        <v>2</v>
      </c>
      <c r="W98" s="38" t="s">
        <v>2</v>
      </c>
      <c r="X98" s="38" t="s">
        <v>2</v>
      </c>
      <c r="Y98" s="38" t="s">
        <v>2</v>
      </c>
      <c r="Z98" s="38" t="s">
        <v>2</v>
      </c>
      <c r="AA98" s="38" t="s">
        <v>2</v>
      </c>
      <c r="AB98" s="40">
        <v>5300</v>
      </c>
      <c r="AC98" s="76">
        <v>58000</v>
      </c>
      <c r="AD98" s="38"/>
      <c r="AE98" s="38"/>
      <c r="AF98" s="38">
        <v>66</v>
      </c>
      <c r="AG98" s="38"/>
      <c r="AH98" s="38">
        <f t="shared" si="14"/>
        <v>66</v>
      </c>
      <c r="AI98" s="38"/>
      <c r="AJ98" s="38"/>
      <c r="AK98" s="38" t="s">
        <v>38</v>
      </c>
      <c r="AL98" s="38">
        <v>1250</v>
      </c>
      <c r="AM98" s="41">
        <v>1</v>
      </c>
    </row>
    <row r="99" spans="1:39" x14ac:dyDescent="0.2">
      <c r="B99" s="37">
        <v>97</v>
      </c>
      <c r="C99" s="38">
        <v>95</v>
      </c>
      <c r="D99" s="38" t="s">
        <v>151</v>
      </c>
      <c r="E99" s="39" t="str">
        <f t="shared" si="10"/>
        <v>95 - Val-d'Oise</v>
      </c>
      <c r="F99" s="37">
        <v>97</v>
      </c>
      <c r="G99" s="38" t="s">
        <v>40</v>
      </c>
      <c r="H99" s="38" t="s">
        <v>60</v>
      </c>
      <c r="I99" s="38">
        <v>2</v>
      </c>
      <c r="J99" s="38">
        <f t="shared" si="11"/>
        <v>2</v>
      </c>
      <c r="K99" s="38">
        <f t="shared" si="12"/>
        <v>-7</v>
      </c>
      <c r="L99" s="38">
        <f t="shared" si="13"/>
        <v>-7</v>
      </c>
      <c r="M99" s="38" t="s">
        <v>2</v>
      </c>
      <c r="N99" s="42" t="s">
        <v>2</v>
      </c>
      <c r="O99" s="38">
        <v>-7</v>
      </c>
      <c r="P99" s="38" t="s">
        <v>2</v>
      </c>
      <c r="Q99" s="38" t="s">
        <v>2</v>
      </c>
      <c r="R99" s="38" t="s">
        <v>2</v>
      </c>
      <c r="S99" s="38" t="s">
        <v>2</v>
      </c>
      <c r="T99" s="38" t="s">
        <v>2</v>
      </c>
      <c r="U99" s="38" t="s">
        <v>2</v>
      </c>
      <c r="V99" s="38" t="s">
        <v>2</v>
      </c>
      <c r="W99" s="38" t="s">
        <v>2</v>
      </c>
      <c r="X99" s="38" t="s">
        <v>2</v>
      </c>
      <c r="Y99" s="38" t="s">
        <v>2</v>
      </c>
      <c r="Z99" s="38" t="s">
        <v>2</v>
      </c>
      <c r="AA99" s="38" t="s">
        <v>2</v>
      </c>
      <c r="AB99" s="40">
        <v>5500</v>
      </c>
      <c r="AC99" s="76">
        <v>61000</v>
      </c>
      <c r="AD99" s="38"/>
      <c r="AE99" s="38"/>
      <c r="AF99" s="38">
        <v>72</v>
      </c>
      <c r="AG99" s="38"/>
      <c r="AH99" s="38">
        <f t="shared" si="14"/>
        <v>72</v>
      </c>
      <c r="AI99" s="38"/>
      <c r="AJ99" s="38"/>
      <c r="AK99" s="38" t="s">
        <v>38</v>
      </c>
      <c r="AL99" s="38">
        <v>1250</v>
      </c>
      <c r="AM99" s="41">
        <v>1</v>
      </c>
    </row>
    <row r="103" spans="1:39" x14ac:dyDescent="0.2">
      <c r="B103" s="50" t="s">
        <v>249</v>
      </c>
      <c r="C103" t="s">
        <v>183</v>
      </c>
      <c r="D103" t="s">
        <v>267</v>
      </c>
      <c r="E103" t="str">
        <f>Rénovation!E29</f>
        <v>De 10 ans (88%)</v>
      </c>
      <c r="G103" s="50" t="s">
        <v>193</v>
      </c>
      <c r="H103" t="s">
        <v>194</v>
      </c>
      <c r="I103" t="str">
        <f>Rénovation!E32</f>
        <v>Normale (50 l/j à 55°C)</v>
      </c>
      <c r="L103" s="50" t="s">
        <v>258</v>
      </c>
      <c r="N103" t="s">
        <v>260</v>
      </c>
      <c r="O103" t="str">
        <f>Rénovation!G32</f>
        <v>Chaudière fioul</v>
      </c>
      <c r="R103" s="50" t="s">
        <v>324</v>
      </c>
      <c r="T103" t="str">
        <f>Rénovation!C47</f>
        <v>Aucune</v>
      </c>
    </row>
    <row r="104" spans="1:39" x14ac:dyDescent="0.2">
      <c r="A104">
        <v>1</v>
      </c>
      <c r="B104" t="s">
        <v>251</v>
      </c>
      <c r="C104">
        <v>0.6</v>
      </c>
      <c r="E104">
        <f>VLOOKUP(E103,B104:C109,2,FALSE)</f>
        <v>0.88</v>
      </c>
      <c r="F104">
        <v>1</v>
      </c>
      <c r="G104" t="s">
        <v>332</v>
      </c>
      <c r="H104">
        <v>35</v>
      </c>
      <c r="I104">
        <f>IF(I103=G104,1,IF(I103=G105,2,IF(I103=G106,3,IF(I103=#REF!,4,IF(I103=#REF!,5)))))</f>
        <v>2</v>
      </c>
      <c r="K104">
        <v>1</v>
      </c>
      <c r="L104" t="s">
        <v>262</v>
      </c>
      <c r="M104">
        <f>I109</f>
        <v>0.88</v>
      </c>
      <c r="N104">
        <f>C121/M104*'Coûts Energies'!D40/100</f>
        <v>404.05261363636362</v>
      </c>
      <c r="O104">
        <f>IF(O103=L104,1,IF(O103=L105,2,IF(O103=L106,3,IF(O103=L107,4,IF(O103=L108,5)))))</f>
        <v>1</v>
      </c>
      <c r="Q104">
        <v>1</v>
      </c>
      <c r="R104" t="s">
        <v>325</v>
      </c>
      <c r="S104">
        <f>O109</f>
        <v>0</v>
      </c>
      <c r="T104">
        <f>IF(T103=R104,1,IF(T103=R105,2,IF(T103=R106,3)))</f>
        <v>1</v>
      </c>
    </row>
    <row r="105" spans="1:39" x14ac:dyDescent="0.2">
      <c r="A105">
        <v>2</v>
      </c>
      <c r="B105" t="s">
        <v>252</v>
      </c>
      <c r="C105">
        <v>0.7</v>
      </c>
      <c r="F105">
        <v>2</v>
      </c>
      <c r="G105" t="s">
        <v>333</v>
      </c>
      <c r="H105">
        <v>50</v>
      </c>
      <c r="K105">
        <v>2</v>
      </c>
      <c r="L105" t="s">
        <v>263</v>
      </c>
      <c r="M105">
        <f>I109</f>
        <v>0.88</v>
      </c>
      <c r="N105">
        <f>C121/M104*N122/100/0.9</f>
        <v>306.5160353535353</v>
      </c>
      <c r="Q105">
        <v>2</v>
      </c>
      <c r="R105" t="s">
        <v>37</v>
      </c>
      <c r="S105">
        <f>O109</f>
        <v>0</v>
      </c>
    </row>
    <row r="106" spans="1:39" x14ac:dyDescent="0.2">
      <c r="A106">
        <v>3</v>
      </c>
      <c r="B106" t="s">
        <v>270</v>
      </c>
      <c r="C106">
        <v>0.8</v>
      </c>
      <c r="F106">
        <v>3</v>
      </c>
      <c r="G106" t="s">
        <v>334</v>
      </c>
      <c r="H106">
        <v>70</v>
      </c>
      <c r="K106">
        <v>3</v>
      </c>
      <c r="L106" t="s">
        <v>264</v>
      </c>
      <c r="M106">
        <f>I109</f>
        <v>0.88</v>
      </c>
      <c r="N106">
        <f>C121/M104*'Coûts Energies'!D48/100</f>
        <v>640.94090909090914</v>
      </c>
      <c r="Q106">
        <v>3</v>
      </c>
      <c r="R106" t="s">
        <v>326</v>
      </c>
      <c r="S106">
        <f>O109</f>
        <v>0</v>
      </c>
    </row>
    <row r="107" spans="1:39" x14ac:dyDescent="0.2">
      <c r="A107">
        <v>4</v>
      </c>
      <c r="B107" t="s">
        <v>279</v>
      </c>
      <c r="C107">
        <v>0.88</v>
      </c>
      <c r="K107">
        <v>4</v>
      </c>
      <c r="L107" t="s">
        <v>259</v>
      </c>
      <c r="M107">
        <v>1</v>
      </c>
      <c r="N107">
        <f>C121/M107*'Coûts Energies'!H15/100</f>
        <v>468.75300000000004</v>
      </c>
    </row>
    <row r="108" spans="1:39" x14ac:dyDescent="0.2">
      <c r="A108">
        <v>5</v>
      </c>
      <c r="B108" t="s">
        <v>338</v>
      </c>
      <c r="C108">
        <v>0.93</v>
      </c>
    </row>
    <row r="109" spans="1:39" x14ac:dyDescent="0.2">
      <c r="A109">
        <v>6</v>
      </c>
      <c r="B109" t="s">
        <v>261</v>
      </c>
      <c r="C109">
        <v>1</v>
      </c>
      <c r="H109" t="s">
        <v>183</v>
      </c>
      <c r="I109">
        <f>E104</f>
        <v>0.88</v>
      </c>
    </row>
    <row r="110" spans="1:39" x14ac:dyDescent="0.2">
      <c r="H110" t="s">
        <v>221</v>
      </c>
      <c r="I110" t="s">
        <v>253</v>
      </c>
      <c r="L110" s="50" t="s">
        <v>269</v>
      </c>
      <c r="M110" t="s">
        <v>260</v>
      </c>
      <c r="N110" t="str">
        <f>Rénovation!C29</f>
        <v>Fioul</v>
      </c>
    </row>
    <row r="111" spans="1:39" x14ac:dyDescent="0.2">
      <c r="B111" s="50" t="s">
        <v>195</v>
      </c>
      <c r="F111" s="67">
        <f>Rénovation!G26</f>
        <v>3500</v>
      </c>
      <c r="G111" t="s">
        <v>245</v>
      </c>
      <c r="H111">
        <f>F111*C125</f>
        <v>35000</v>
      </c>
      <c r="I111">
        <f>H111*$I$109</f>
        <v>30800</v>
      </c>
      <c r="K111">
        <v>1</v>
      </c>
      <c r="L111" t="s">
        <v>176</v>
      </c>
      <c r="M111">
        <f>C119/I109*'Coûts Energies'!D40/100</f>
        <v>2924.5309090909086</v>
      </c>
      <c r="N111">
        <f>IF(N110=L111,1,IF(N110=L112,2,IF(N110=L113,3,IF(N110=L114,4,IF(N110=L115,5)))))</f>
        <v>1</v>
      </c>
    </row>
    <row r="112" spans="1:39" x14ac:dyDescent="0.2">
      <c r="B112" t="s">
        <v>157</v>
      </c>
      <c r="C112">
        <f>VLOOKUP(Rénovation!C20,'calculs réno'!E4:F99,2,FALSE)</f>
        <v>2</v>
      </c>
      <c r="F112" s="67">
        <f>Rénovation!G27</f>
        <v>0</v>
      </c>
      <c r="G112" t="s">
        <v>246</v>
      </c>
      <c r="H112">
        <f>F112*C126</f>
        <v>0</v>
      </c>
      <c r="I112">
        <f>H112*$I$109</f>
        <v>0</v>
      </c>
      <c r="K112">
        <v>2</v>
      </c>
      <c r="L112" t="s">
        <v>177</v>
      </c>
      <c r="M112">
        <f>C119/I109*N122/100/0.9</f>
        <v>2218.5616161616158</v>
      </c>
    </row>
    <row r="113" spans="2:19" x14ac:dyDescent="0.2">
      <c r="B113" t="s">
        <v>158</v>
      </c>
      <c r="C113">
        <f>AR4</f>
        <v>1</v>
      </c>
      <c r="F113" s="67">
        <f>Rénovation!G28</f>
        <v>0</v>
      </c>
      <c r="G113" t="s">
        <v>247</v>
      </c>
      <c r="H113">
        <f>F113*C127</f>
        <v>0</v>
      </c>
      <c r="I113">
        <f>H113*$I$109</f>
        <v>0</v>
      </c>
      <c r="K113">
        <v>3</v>
      </c>
      <c r="L113" t="s">
        <v>178</v>
      </c>
      <c r="M113">
        <f>C119/I109*'Coûts Energies'!D48/100</f>
        <v>4639.1272727272726</v>
      </c>
    </row>
    <row r="114" spans="2:19" x14ac:dyDescent="0.2">
      <c r="B114" t="s">
        <v>154</v>
      </c>
      <c r="C114">
        <f>VLOOKUP(C112,F4:AA99,C113+9,FALSE)</f>
        <v>-10</v>
      </c>
      <c r="D114" s="71" t="s">
        <v>316</v>
      </c>
      <c r="F114" s="67">
        <f>Rénovation!G29</f>
        <v>0</v>
      </c>
      <c r="G114" t="s">
        <v>248</v>
      </c>
      <c r="H114" s="67">
        <f>F114</f>
        <v>0</v>
      </c>
      <c r="I114" s="67">
        <f>H114</f>
        <v>0</v>
      </c>
      <c r="K114">
        <v>4</v>
      </c>
      <c r="L114" t="s">
        <v>261</v>
      </c>
      <c r="M114">
        <f>C119/I109*(1/3*'Coûts Energies'!H15+2/3*'Coûts Energies'!H14)/100</f>
        <v>4586.8848484848477</v>
      </c>
    </row>
    <row r="115" spans="2:19" x14ac:dyDescent="0.2">
      <c r="B115" s="51" t="s">
        <v>182</v>
      </c>
      <c r="C115">
        <f>VLOOKUP(C112,F4:AM99,24,FALSE)+D115*(Rénovation!C35-19)</f>
        <v>67900</v>
      </c>
      <c r="D115">
        <f>VLOOKUP(C112,F4:AM99,23,FALSE)</f>
        <v>4900</v>
      </c>
      <c r="H115" t="s">
        <v>254</v>
      </c>
      <c r="I115">
        <f>SUM(I111:I114)</f>
        <v>30800</v>
      </c>
    </row>
    <row r="116" spans="2:19" x14ac:dyDescent="0.2">
      <c r="B116" t="s">
        <v>153</v>
      </c>
      <c r="C116">
        <f>Rénovation!E38</f>
        <v>1.3</v>
      </c>
    </row>
    <row r="117" spans="2:19" x14ac:dyDescent="0.2">
      <c r="B117" t="s">
        <v>155</v>
      </c>
      <c r="C117">
        <f>Rénovation!C26*Rénovation!E26</f>
        <v>375</v>
      </c>
      <c r="D117" t="s">
        <v>196</v>
      </c>
      <c r="E117" t="s">
        <v>337</v>
      </c>
      <c r="G117" t="s">
        <v>255</v>
      </c>
      <c r="H117">
        <f>ROUND((I115-C121)/(0.75*C117*C115/1000/0.9),2)</f>
        <v>1.27</v>
      </c>
      <c r="L117" s="50" t="s">
        <v>303</v>
      </c>
      <c r="R117" s="50" t="s">
        <v>304</v>
      </c>
    </row>
    <row r="118" spans="2:19" x14ac:dyDescent="0.2">
      <c r="B118" t="s">
        <v>156</v>
      </c>
      <c r="C118">
        <f>ROUND(C116*C117*(Rénovation!C35-C114)/1000,1)</f>
        <v>14.6</v>
      </c>
      <c r="D118" t="s">
        <v>197</v>
      </c>
      <c r="E118">
        <f>VLOOKUP(C112,F4:AA99,10,FALSE)</f>
        <v>-10</v>
      </c>
      <c r="H118">
        <f>IF(H117&lt;0,"-",H117)</f>
        <v>1.27</v>
      </c>
      <c r="L118" t="s">
        <v>298</v>
      </c>
      <c r="N118">
        <f>('Coûts Energies'!H33-'Coûts Energies'!H32)/('Coûts Energies'!D32-'Coûts Energies'!D33+0.001)*100</f>
        <v>0</v>
      </c>
      <c r="O118" t="s">
        <v>180</v>
      </c>
      <c r="R118" t="s">
        <v>305</v>
      </c>
      <c r="S118">
        <f>IF(C118+6&lt;12,'Coûts Energies'!H20,IF(C118+6&lt;15,'Coûts Energies'!H21,IF(C118+6&lt;18,'Coûts Energies'!H22,IF(C118+6&lt;24,'Coûts Energies'!H23,IF(C118+6&lt;30,'Coûts Energies'!H24,'Coûts Energies'!H25)))))</f>
        <v>274.68</v>
      </c>
    </row>
    <row r="119" spans="2:19" x14ac:dyDescent="0.2">
      <c r="B119" t="s">
        <v>179</v>
      </c>
      <c r="C119">
        <f>ROUND(0.75*C116*C117*C115/1000/0.9/(Rénovation!C35-E118)*(Rénovation!C35-C114),0)</f>
        <v>27584</v>
      </c>
      <c r="D119" t="s">
        <v>180</v>
      </c>
      <c r="N119" t="s">
        <v>309</v>
      </c>
      <c r="O119" t="s">
        <v>310</v>
      </c>
      <c r="P119" s="46" t="s">
        <v>311</v>
      </c>
      <c r="R119" t="s">
        <v>307</v>
      </c>
      <c r="S119">
        <f>'Coûts Energies'!H20</f>
        <v>177.24</v>
      </c>
    </row>
    <row r="120" spans="2:19" x14ac:dyDescent="0.2">
      <c r="B120" t="s">
        <v>198</v>
      </c>
      <c r="C120">
        <f>VLOOKUP(I104,F104:H106,3,FALSE)</f>
        <v>50</v>
      </c>
      <c r="D120" t="s">
        <v>199</v>
      </c>
      <c r="L120" t="s">
        <v>308</v>
      </c>
      <c r="N120">
        <f>IF(N111=2,C119/C132,0)</f>
        <v>0</v>
      </c>
      <c r="O120">
        <f>IF(O104=2,C121/C132,0)</f>
        <v>0</v>
      </c>
      <c r="P120" s="46">
        <f>SUM(N120:O120)</f>
        <v>0</v>
      </c>
      <c r="Q120" t="s">
        <v>180</v>
      </c>
      <c r="R120" t="s">
        <v>306</v>
      </c>
      <c r="S120">
        <f>IF(C118/3+6&lt;12,'Coûts Energies'!H20,IF(C118/3+6&lt;15,'Coûts Energies'!H21,IF(C118/3+6&lt;18,'Coûts Energies'!H22,IF(C118/3+6&lt;24,'Coûts Energies'!H23,IF(C118/3+6&lt;30,'Coûts Energies'!H24,'Coûts Energies'!H25)))))</f>
        <v>177.24</v>
      </c>
    </row>
    <row r="121" spans="2:19" x14ac:dyDescent="0.2">
      <c r="B121" t="s">
        <v>181</v>
      </c>
      <c r="C121">
        <f>ROUND(Rénovation!C32*C120*365/1000*1.16*45,0)</f>
        <v>3811</v>
      </c>
      <c r="D121" t="s">
        <v>180</v>
      </c>
      <c r="L121" t="s">
        <v>299</v>
      </c>
      <c r="N121">
        <f>IF(P120&lt;N118,'Coûts Energies'!H32,'Coûts Energies'!H33)</f>
        <v>250.53</v>
      </c>
      <c r="O121" t="s">
        <v>302</v>
      </c>
    </row>
    <row r="122" spans="2:19" x14ac:dyDescent="0.2">
      <c r="B122" t="s">
        <v>200</v>
      </c>
      <c r="C122">
        <f>C121+C119</f>
        <v>31395</v>
      </c>
      <c r="D122" t="s">
        <v>180</v>
      </c>
      <c r="L122" t="s">
        <v>300</v>
      </c>
      <c r="N122">
        <f>IF(P120&lt;N118,'Coûts Energies'!D32,'Coûts Energies'!D33)</f>
        <v>6.37</v>
      </c>
      <c r="O122" t="s">
        <v>302</v>
      </c>
    </row>
    <row r="123" spans="2:19" x14ac:dyDescent="0.2">
      <c r="R123" s="50" t="s">
        <v>314</v>
      </c>
    </row>
    <row r="124" spans="2:19" x14ac:dyDescent="0.2">
      <c r="B124" s="50" t="s">
        <v>219</v>
      </c>
      <c r="L124" t="s">
        <v>313</v>
      </c>
      <c r="N124">
        <f>C122/C138/0.9</f>
        <v>32003.058103975531</v>
      </c>
      <c r="O124" t="s">
        <v>180</v>
      </c>
    </row>
    <row r="125" spans="2:19" x14ac:dyDescent="0.2">
      <c r="B125" t="s">
        <v>220</v>
      </c>
      <c r="C125">
        <v>10</v>
      </c>
      <c r="D125" t="s">
        <v>221</v>
      </c>
      <c r="E125" s="57">
        <f>C125/0.94</f>
        <v>10.638297872340425</v>
      </c>
      <c r="F125" t="s">
        <v>222</v>
      </c>
      <c r="G125">
        <f>E125*0.3</f>
        <v>3.1914893617021276</v>
      </c>
      <c r="H125" t="s">
        <v>223</v>
      </c>
      <c r="L125" t="s">
        <v>299</v>
      </c>
      <c r="N125">
        <f>IF(N124&lt;N118,'Coûts Energies'!H32,'Coûts Energies'!H33)</f>
        <v>250.53</v>
      </c>
      <c r="O125" t="s">
        <v>302</v>
      </c>
    </row>
    <row r="126" spans="2:19" x14ac:dyDescent="0.2">
      <c r="B126" t="s">
        <v>224</v>
      </c>
      <c r="C126">
        <v>10</v>
      </c>
      <c r="D126" t="s">
        <v>221</v>
      </c>
      <c r="E126" s="57">
        <f>C126/0.9</f>
        <v>11.111111111111111</v>
      </c>
      <c r="F126" t="s">
        <v>222</v>
      </c>
      <c r="G126">
        <f>E126*0.23</f>
        <v>2.5555555555555554</v>
      </c>
      <c r="H126" t="s">
        <v>223</v>
      </c>
      <c r="L126" t="s">
        <v>300</v>
      </c>
      <c r="N126">
        <f>IF(N124&lt;N118,'Coûts Energies'!D32,'Coûts Energies'!D33)</f>
        <v>6.37</v>
      </c>
      <c r="O126" t="s">
        <v>302</v>
      </c>
      <c r="P126">
        <f>4.15/0.9</f>
        <v>4.6111111111111116</v>
      </c>
    </row>
    <row r="127" spans="2:19" x14ac:dyDescent="0.2">
      <c r="B127" t="s">
        <v>225</v>
      </c>
      <c r="C127">
        <v>12.8</v>
      </c>
      <c r="D127" t="s">
        <v>221</v>
      </c>
      <c r="E127" s="57">
        <f>C127/0.92</f>
        <v>13.913043478260869</v>
      </c>
      <c r="F127" t="s">
        <v>222</v>
      </c>
      <c r="P127">
        <f>4.31/0.9</f>
        <v>4.7888888888888888</v>
      </c>
    </row>
    <row r="128" spans="2:19" x14ac:dyDescent="0.2">
      <c r="B128" t="s">
        <v>226</v>
      </c>
      <c r="C128">
        <v>4.8</v>
      </c>
      <c r="D128" t="s">
        <v>221</v>
      </c>
      <c r="E128" s="57"/>
      <c r="L128" t="s">
        <v>312</v>
      </c>
      <c r="N128">
        <f>C122/C139/0.9</f>
        <v>37508.960573476703</v>
      </c>
      <c r="O128" t="s">
        <v>180</v>
      </c>
    </row>
    <row r="129" spans="2:15" x14ac:dyDescent="0.2">
      <c r="B129" t="s">
        <v>227</v>
      </c>
      <c r="C129">
        <v>2000</v>
      </c>
      <c r="D129" t="s">
        <v>221</v>
      </c>
      <c r="F129" t="s">
        <v>228</v>
      </c>
      <c r="G129">
        <v>0.18</v>
      </c>
      <c r="H129" t="s">
        <v>223</v>
      </c>
      <c r="L129" t="s">
        <v>299</v>
      </c>
      <c r="N129">
        <f>IF(N128&lt;N118,'Coûts Energies'!H32,'Coûts Energies'!H33)</f>
        <v>250.53</v>
      </c>
      <c r="O129" t="s">
        <v>302</v>
      </c>
    </row>
    <row r="130" spans="2:15" x14ac:dyDescent="0.2">
      <c r="L130" t="s">
        <v>300</v>
      </c>
      <c r="N130">
        <f>IF(N128&lt;N118,'Coûts Energies'!D32,'Coûts Energies'!D33)</f>
        <v>6.37</v>
      </c>
      <c r="O130" t="s">
        <v>302</v>
      </c>
    </row>
    <row r="131" spans="2:15" ht="38.25" x14ac:dyDescent="0.2">
      <c r="B131" s="60" t="s">
        <v>209</v>
      </c>
      <c r="C131" s="61" t="s">
        <v>183</v>
      </c>
      <c r="D131" s="70" t="s">
        <v>295</v>
      </c>
      <c r="E131" s="61" t="s">
        <v>234</v>
      </c>
      <c r="F131" s="61" t="s">
        <v>233</v>
      </c>
      <c r="G131" s="61" t="s">
        <v>232</v>
      </c>
      <c r="H131" s="61" t="s">
        <v>230</v>
      </c>
      <c r="I131" s="61" t="s">
        <v>231</v>
      </c>
      <c r="K131" s="61" t="s">
        <v>327</v>
      </c>
      <c r="L131" s="61" t="s">
        <v>328</v>
      </c>
      <c r="M131" s="61" t="s">
        <v>136</v>
      </c>
    </row>
    <row r="132" spans="2:15" ht="25.5" x14ac:dyDescent="0.2">
      <c r="B132" s="60" t="s">
        <v>271</v>
      </c>
      <c r="C132" s="68">
        <f>I109</f>
        <v>0.88</v>
      </c>
      <c r="D132">
        <f>IF(N111=2,N121,IF(N111=4,S118-'Coûts Energies'!D20,0))</f>
        <v>0</v>
      </c>
      <c r="E132" s="69">
        <f>VLOOKUP(O104,K104:N107,4,FALSE)</f>
        <v>404.05261363636362</v>
      </c>
      <c r="F132" s="69">
        <f>VLOOKUP(N111,K111:M114,3,FALSE)+D132</f>
        <v>2924.5309090909086</v>
      </c>
      <c r="G132" s="63">
        <f t="shared" ref="G132:G137" si="15">E132+F132</f>
        <v>3328.5835227272723</v>
      </c>
      <c r="H132" s="63">
        <f>E132*(100-Rénovation!$E$47)/100+F132</f>
        <v>3086.1519545454539</v>
      </c>
      <c r="I132" s="64">
        <f>E132*(100-Rénovation!$E$47)/100+(F132-D132)*(100-Rénovation!$G$47)/100+D132</f>
        <v>2501.2457727272722</v>
      </c>
      <c r="K132" s="72">
        <f>E132</f>
        <v>404.05261363636362</v>
      </c>
      <c r="L132" s="72">
        <f>F132</f>
        <v>2924.5309090909086</v>
      </c>
      <c r="M132" s="72">
        <f>K132+L132</f>
        <v>3328.5835227272723</v>
      </c>
    </row>
    <row r="133" spans="2:15" ht="25.5" x14ac:dyDescent="0.2">
      <c r="B133" s="65" t="s">
        <v>241</v>
      </c>
      <c r="C133" s="58">
        <v>1</v>
      </c>
      <c r="D133">
        <f>S118-'Coûts Energies'!D20</f>
        <v>144.36000000000001</v>
      </c>
      <c r="E133" s="62">
        <f>C121/C133*'Coûts Energies'!H15/100</f>
        <v>468.75300000000004</v>
      </c>
      <c r="F133" s="63">
        <f>C119/C133*(1/3*'Coûts Energies'!H15+2/3*'Coûts Energies'!H14)/100+D133</f>
        <v>4180.8186666666661</v>
      </c>
      <c r="G133" s="63">
        <f t="shared" si="15"/>
        <v>4649.5716666666658</v>
      </c>
      <c r="H133" s="63">
        <f>E133*(100-Rénovation!$E$47)/100+F133</f>
        <v>4368.3198666666658</v>
      </c>
      <c r="I133" s="64">
        <f>E133*(100-Rénovation!$E$47)/100+(F133-D133)*(100-Rénovation!$G$47)/100+D133</f>
        <v>3561.0281333333332</v>
      </c>
      <c r="K133" s="72">
        <f t="shared" ref="K133:K143" si="16">IF($T$104=1,E133,IF($T$104=2,H133-F133,IF($T$104=3,H133-F133)))</f>
        <v>468.75300000000004</v>
      </c>
      <c r="L133">
        <f>IF($T$104=1,F133,IF($T$104=2,F133,IF($T$104=3,(F133-D133)*(100-Rénovation!$G$47)/100+D133)))</f>
        <v>4180.8186666666661</v>
      </c>
      <c r="M133" s="72">
        <f t="shared" ref="M133:M143" si="17">K133+L133</f>
        <v>4649.5716666666658</v>
      </c>
    </row>
    <row r="134" spans="2:15" ht="25.5" x14ac:dyDescent="0.2">
      <c r="B134" s="65" t="s">
        <v>274</v>
      </c>
      <c r="C134" s="3">
        <v>3.5</v>
      </c>
      <c r="D134">
        <f>S119-'Coûts Energies'!D20</f>
        <v>46.920000000000016</v>
      </c>
      <c r="E134" s="62">
        <f>C121/C133*'Coûts Energies'!H15/100</f>
        <v>468.75300000000004</v>
      </c>
      <c r="F134" s="63">
        <f>C119/C134*(1/3*'Coûts Energies'!H15+2/3*'Coûts Energies'!H14)/100+D134</f>
        <v>1200.1939047619048</v>
      </c>
      <c r="G134" s="63">
        <f t="shared" si="15"/>
        <v>1668.946904761905</v>
      </c>
      <c r="H134" s="63">
        <f>E134*(100-Rénovation!$E$47)/100+F134</f>
        <v>1387.695104761905</v>
      </c>
      <c r="I134" s="64">
        <f>E134*(100-Rénovation!$E$47)/100+(F134-D134)*(100-Rénovation!$G$47)/100+D134</f>
        <v>1157.0403238095241</v>
      </c>
      <c r="K134" s="72">
        <f t="shared" si="16"/>
        <v>468.75300000000004</v>
      </c>
      <c r="L134">
        <f>IF($T$104=1,F134,IF($T$104=2,F134,IF($T$104=3,(F134-D134)*(100-Rénovation!$G$47)/100+D134)))</f>
        <v>1200.1939047619048</v>
      </c>
      <c r="M134" s="72">
        <f t="shared" si="17"/>
        <v>1668.946904761905</v>
      </c>
    </row>
    <row r="135" spans="2:15" ht="25.5" x14ac:dyDescent="0.2">
      <c r="B135" s="65" t="s">
        <v>275</v>
      </c>
      <c r="C135" s="3">
        <v>4</v>
      </c>
      <c r="D135">
        <f>S120-'Coûts Energies'!D20</f>
        <v>46.920000000000016</v>
      </c>
      <c r="E135" s="62">
        <f>C121/C133*'Coûts Energies'!H15/100</f>
        <v>468.75300000000004</v>
      </c>
      <c r="F135" s="63">
        <f>C119/C135*(1/3*'Coûts Energies'!H15+2/3*'Coûts Energies'!H14)/100+D135</f>
        <v>1056.0346666666667</v>
      </c>
      <c r="G135" s="63">
        <f t="shared" si="15"/>
        <v>1524.7876666666666</v>
      </c>
      <c r="H135" s="63">
        <f>E135*(100-Rénovation!$E$47)/100+F135</f>
        <v>1243.5358666666666</v>
      </c>
      <c r="I135" s="64">
        <f>E135*(100-Rénovation!$E$47)/100+(F135-D135)*(100-Rénovation!$G$47)/100+D135</f>
        <v>1041.7129333333332</v>
      </c>
      <c r="K135" s="72">
        <f t="shared" si="16"/>
        <v>468.75300000000004</v>
      </c>
      <c r="L135">
        <f>IF($T$104=1,F135,IF($T$104=2,F135,IF($T$104=3,(F135-D135)*(100-Rénovation!$G$47)/100+D135)))</f>
        <v>1056.0346666666667</v>
      </c>
      <c r="M135" s="72">
        <f t="shared" si="17"/>
        <v>1524.7876666666666</v>
      </c>
    </row>
    <row r="136" spans="2:15" ht="25.5" x14ac:dyDescent="0.2">
      <c r="B136" s="65" t="s">
        <v>236</v>
      </c>
      <c r="C136" s="58">
        <v>0.85</v>
      </c>
      <c r="D136">
        <v>0</v>
      </c>
      <c r="E136" s="62">
        <f>C121/C136/C129*'Coûts Energies'!D56</f>
        <v>156.92352941176472</v>
      </c>
      <c r="F136" s="63">
        <f>C119/C136/C129*'Coûts Energies'!D56+D136</f>
        <v>1135.8117647058823</v>
      </c>
      <c r="G136" s="63">
        <f t="shared" si="15"/>
        <v>1292.7352941176471</v>
      </c>
      <c r="H136" s="63">
        <f>E136*(100-Rénovation!$E$47)/100+F136</f>
        <v>1198.5811764705882</v>
      </c>
      <c r="I136" s="64">
        <f>E136*(100-Rénovation!$E$47)/100+(F136-D136)*(100-Rénovation!$G$47)/100+D136</f>
        <v>971.41882352941172</v>
      </c>
      <c r="K136" s="72">
        <f t="shared" si="16"/>
        <v>156.92352941176472</v>
      </c>
      <c r="L136">
        <f>IF($T$104=1,F136,IF($T$104=2,F136,IF($T$104=3,(F136-D136)*(100-Rénovation!$G$47)/100+D136)))</f>
        <v>1135.8117647058823</v>
      </c>
      <c r="M136" s="72">
        <f t="shared" si="17"/>
        <v>1292.7352941176471</v>
      </c>
    </row>
    <row r="137" spans="2:15" ht="25.5" x14ac:dyDescent="0.2">
      <c r="B137" s="65" t="s">
        <v>237</v>
      </c>
      <c r="C137" s="58">
        <v>0.85</v>
      </c>
      <c r="D137">
        <v>0</v>
      </c>
      <c r="E137" s="62">
        <f>C121/C137/C128/1000*'Coûts Energies'!H56</f>
        <v>259.85789215686276</v>
      </c>
      <c r="F137" s="63">
        <f>C119/C137/C128/1000*'Coûts Energies'!H56+D137</f>
        <v>1880.8501960784313</v>
      </c>
      <c r="G137" s="63">
        <f t="shared" si="15"/>
        <v>2140.7080882352939</v>
      </c>
      <c r="H137" s="63">
        <f>E137*(100-Rénovation!$E$47)/100+F137</f>
        <v>1984.7933529411764</v>
      </c>
      <c r="I137" s="64">
        <f>E137*(100-Rénovation!$E$47)/100+(F137-D137)*(100-Rénovation!$G$47)/100+D137</f>
        <v>1608.6233137254901</v>
      </c>
      <c r="K137" s="72">
        <f t="shared" si="16"/>
        <v>259.85789215686276</v>
      </c>
      <c r="L137">
        <f>IF($T$104=1,F137,IF($T$104=2,F137,IF($T$104=3,(F137-D137)*(100-Rénovation!$G$47)/100+D137)))</f>
        <v>1880.8501960784313</v>
      </c>
      <c r="M137" s="72">
        <f t="shared" si="17"/>
        <v>2140.7080882352939</v>
      </c>
    </row>
    <row r="138" spans="2:15" ht="25.5" x14ac:dyDescent="0.2">
      <c r="B138" s="65" t="s">
        <v>238</v>
      </c>
      <c r="C138" s="58">
        <v>1.0900000000000001</v>
      </c>
      <c r="D138">
        <f>N125</f>
        <v>250.53</v>
      </c>
      <c r="E138" s="62">
        <f>C121/C138*N126/0.9/100</f>
        <v>247.46248725790008</v>
      </c>
      <c r="F138" s="63">
        <f>C119/C138*N126/0.9/100+D138</f>
        <v>2041.6623139653409</v>
      </c>
      <c r="G138" s="63">
        <f t="shared" ref="G138:G143" si="18">E138+F138</f>
        <v>2289.1248012232409</v>
      </c>
      <c r="H138" s="63">
        <f>E138*(100-Rénovation!$E$47)/100+F138</f>
        <v>2140.6473088685011</v>
      </c>
      <c r="I138" s="64">
        <f>E138*(100-Rénovation!$E$47)/100+(F138-D138)*(100-Rénovation!$G$47)/100+D138</f>
        <v>1782.4208460754328</v>
      </c>
      <c r="K138" s="72">
        <f t="shared" si="16"/>
        <v>247.46248725790008</v>
      </c>
      <c r="L138">
        <f>IF($T$104=1,F138,IF($T$104=2,F138,IF($T$104=3,(F138-D138)*(100-Rénovation!$G$47)/100+D138)))</f>
        <v>2041.6623139653409</v>
      </c>
      <c r="M138" s="72">
        <f t="shared" si="17"/>
        <v>2289.1248012232409</v>
      </c>
    </row>
    <row r="139" spans="2:15" x14ac:dyDescent="0.2">
      <c r="B139" s="59" t="s">
        <v>177</v>
      </c>
      <c r="C139" s="58">
        <v>0.93</v>
      </c>
      <c r="D139">
        <f>N129</f>
        <v>250.53</v>
      </c>
      <c r="E139" s="62">
        <f>C121/C139*N130/0.9/100</f>
        <v>290.03667861409792</v>
      </c>
      <c r="F139" s="63">
        <f>C119/C139*N130/0.9/100+D139</f>
        <v>2349.8141099163681</v>
      </c>
      <c r="G139" s="63">
        <f t="shared" si="18"/>
        <v>2639.8507885304662</v>
      </c>
      <c r="H139" s="63">
        <f>E139*(100-Rénovation!$E$47)/100+F139</f>
        <v>2465.8287813620072</v>
      </c>
      <c r="I139" s="64">
        <f>E139*(100-Rénovation!$E$47)/100+(F139-D139)*(100-Rénovation!$G$47)/100+D139</f>
        <v>2045.9719593787333</v>
      </c>
      <c r="K139" s="72">
        <f t="shared" si="16"/>
        <v>290.03667861409792</v>
      </c>
      <c r="L139">
        <f>IF($T$104=1,F139,IF($T$104=2,F139,IF($T$104=3,(F139-D139)*(100-Rénovation!$G$47)/100+D139)))</f>
        <v>2349.8141099163681</v>
      </c>
      <c r="M139" s="72">
        <f t="shared" si="17"/>
        <v>2639.8507885304662</v>
      </c>
    </row>
    <row r="140" spans="2:15" ht="25.5" x14ac:dyDescent="0.2">
      <c r="B140" s="65" t="s">
        <v>239</v>
      </c>
      <c r="C140" s="58">
        <v>1.04</v>
      </c>
      <c r="D140">
        <v>0</v>
      </c>
      <c r="E140" s="62">
        <f>C121/C140*'Coûts Energies'!D40/100</f>
        <v>341.89067307692306</v>
      </c>
      <c r="F140" s="63">
        <f>C119/C140*'Coûts Energies'!D40/100+D140</f>
        <v>2474.603076923077</v>
      </c>
      <c r="G140" s="63">
        <f t="shared" si="18"/>
        <v>2816.4937500000001</v>
      </c>
      <c r="H140" s="63">
        <f>E140*(100-Rénovation!$E$47)/100+F140</f>
        <v>2611.3593461538462</v>
      </c>
      <c r="I140" s="64">
        <f>E140*(100-Rénovation!$E$47)/100+(F140-D140)*(100-Rénovation!$G$47)/100+D140</f>
        <v>2116.4387307692305</v>
      </c>
      <c r="K140" s="72">
        <f t="shared" si="16"/>
        <v>341.89067307692306</v>
      </c>
      <c r="L140">
        <f>IF($T$104=1,F140,IF($T$104=2,F140,IF($T$104=3,(F140-D140)*(100-Rénovation!$G$47)/100+D140)))</f>
        <v>2474.603076923077</v>
      </c>
      <c r="M140" s="72">
        <f t="shared" si="17"/>
        <v>2816.4937500000001</v>
      </c>
    </row>
    <row r="141" spans="2:15" x14ac:dyDescent="0.2">
      <c r="B141" s="59" t="s">
        <v>176</v>
      </c>
      <c r="C141" s="58">
        <v>0.93</v>
      </c>
      <c r="D141">
        <v>0</v>
      </c>
      <c r="E141" s="62">
        <f>C121/C141*'Coûts Energies'!D40/100</f>
        <v>382.32935483870972</v>
      </c>
      <c r="F141" s="63">
        <f>C119/C141*'Coûts Energies'!D40/100+D141</f>
        <v>2767.2980645161292</v>
      </c>
      <c r="G141" s="63">
        <f t="shared" si="18"/>
        <v>3149.6274193548388</v>
      </c>
      <c r="H141" s="63">
        <f>E141*(100-Rénovation!$E$47)/100+F141</f>
        <v>2920.2298064516131</v>
      </c>
      <c r="I141" s="64">
        <f>E141*(100-Rénovation!$E$47)/100+(F141-D141)*(100-Rénovation!$G$47)/100+D141</f>
        <v>2366.7701935483874</v>
      </c>
      <c r="K141" s="72">
        <f t="shared" si="16"/>
        <v>382.32935483870972</v>
      </c>
      <c r="L141">
        <f>IF($T$104=1,F141,IF($T$104=2,F141,IF($T$104=3,(F141-D141)*(100-Rénovation!$G$47)/100+D141)))</f>
        <v>2767.2980645161292</v>
      </c>
      <c r="M141" s="72">
        <f t="shared" si="17"/>
        <v>3149.6274193548388</v>
      </c>
    </row>
    <row r="142" spans="2:15" ht="25.5" x14ac:dyDescent="0.2">
      <c r="B142" s="65" t="s">
        <v>240</v>
      </c>
      <c r="C142" s="58">
        <v>1.07</v>
      </c>
      <c r="D142">
        <v>0</v>
      </c>
      <c r="E142" s="62">
        <f>C121/C142*'Coûts Energies'!D48/100</f>
        <v>527.12897196261679</v>
      </c>
      <c r="F142" s="63">
        <f>C119/C142*'Coûts Energies'!D48/100+D142</f>
        <v>3815.3570093457943</v>
      </c>
      <c r="G142" s="63">
        <f t="shared" si="18"/>
        <v>4342.4859813084113</v>
      </c>
      <c r="H142" s="63">
        <f>E142*(100-Rénovation!$E$47)/100+F142</f>
        <v>4026.208598130841</v>
      </c>
      <c r="I142" s="64">
        <f>E142*(100-Rénovation!$E$47)/100+(F142-D142)*(100-Rénovation!$G$47)/100+D142</f>
        <v>3263.1371962616822</v>
      </c>
      <c r="K142" s="72">
        <f t="shared" si="16"/>
        <v>527.12897196261679</v>
      </c>
      <c r="L142">
        <f>IF($T$104=1,F142,IF($T$104=2,F142,IF($T$104=3,(F142-D142)*(100-Rénovation!$G$47)/100+D142)))</f>
        <v>3815.3570093457943</v>
      </c>
      <c r="M142" s="72">
        <f t="shared" si="17"/>
        <v>4342.4859813084113</v>
      </c>
    </row>
    <row r="143" spans="2:15" x14ac:dyDescent="0.2">
      <c r="B143" s="59" t="s">
        <v>178</v>
      </c>
      <c r="C143" s="58">
        <v>0.93</v>
      </c>
      <c r="D143">
        <v>0</v>
      </c>
      <c r="E143" s="62">
        <f>C121/C143*'Coûts Energies'!D48/100</f>
        <v>606.48172043010754</v>
      </c>
      <c r="F143" s="63">
        <f>C119/C143*'Coûts Energies'!D48/100+D143</f>
        <v>4389.7118279569895</v>
      </c>
      <c r="G143" s="63">
        <f t="shared" si="18"/>
        <v>4996.1935483870966</v>
      </c>
      <c r="H143" s="63">
        <f>E143*(100-Rénovation!$E$47)/100+F143</f>
        <v>4632.3045161290329</v>
      </c>
      <c r="I143" s="64">
        <f>E143*(100-Rénovation!$E$47)/100+(F143-D143)*(100-Rénovation!$G$47)/100+D143</f>
        <v>3754.362150537635</v>
      </c>
      <c r="K143" s="72">
        <f t="shared" si="16"/>
        <v>606.48172043010754</v>
      </c>
      <c r="L143">
        <f>IF($T$104=1,F143,IF($T$104=2,F143,IF($T$104=3,(F143-D143)*(100-Rénovation!$G$47)/100+D143)))</f>
        <v>4389.7118279569895</v>
      </c>
      <c r="M143" s="72">
        <f t="shared" si="17"/>
        <v>4996.1935483870966</v>
      </c>
    </row>
  </sheetData>
  <mergeCells count="1">
    <mergeCell ref="AD2:AE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R143"/>
  <sheetViews>
    <sheetView topLeftCell="A100" workbookViewId="0">
      <selection activeCell="G113" sqref="G113"/>
    </sheetView>
  </sheetViews>
  <sheetFormatPr baseColWidth="10" defaultRowHeight="12.75" x14ac:dyDescent="0.2"/>
  <cols>
    <col min="2" max="2" width="27.42578125" bestFit="1" customWidth="1"/>
    <col min="3" max="3" width="13.5703125" customWidth="1"/>
    <col min="4" max="4" width="21.5703125" bestFit="1" customWidth="1"/>
    <col min="5" max="5" width="12" customWidth="1"/>
    <col min="7" max="7" width="13.85546875" customWidth="1"/>
    <col min="8" max="8" width="12.5703125" customWidth="1"/>
    <col min="41" max="41" width="19" bestFit="1" customWidth="1"/>
  </cols>
  <sheetData>
    <row r="2" spans="2:44" ht="38.25" x14ac:dyDescent="0.2">
      <c r="B2" s="34" t="s">
        <v>6</v>
      </c>
      <c r="C2" s="34" t="s">
        <v>7</v>
      </c>
      <c r="D2" s="34" t="s">
        <v>8</v>
      </c>
      <c r="E2" s="34"/>
      <c r="F2" s="34"/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35" t="s">
        <v>18</v>
      </c>
      <c r="R2" s="35" t="s">
        <v>19</v>
      </c>
      <c r="S2" s="35" t="s">
        <v>20</v>
      </c>
      <c r="T2" s="35" t="s">
        <v>21</v>
      </c>
      <c r="U2" s="35" t="s">
        <v>22</v>
      </c>
      <c r="V2" s="35" t="s">
        <v>23</v>
      </c>
      <c r="W2" s="35" t="s">
        <v>24</v>
      </c>
      <c r="X2" s="35" t="s">
        <v>25</v>
      </c>
      <c r="Y2" s="35" t="s">
        <v>26</v>
      </c>
      <c r="Z2" s="35" t="s">
        <v>27</v>
      </c>
      <c r="AA2" s="35" t="s">
        <v>28</v>
      </c>
      <c r="AB2" s="35" t="s">
        <v>29</v>
      </c>
      <c r="AC2" s="35" t="s">
        <v>30</v>
      </c>
      <c r="AD2" s="155" t="s">
        <v>31</v>
      </c>
      <c r="AE2" s="155"/>
      <c r="AF2" s="34" t="s">
        <v>32</v>
      </c>
      <c r="AG2" s="34" t="s">
        <v>33</v>
      </c>
      <c r="AH2" s="34" t="s">
        <v>34</v>
      </c>
      <c r="AI2" s="34" t="s">
        <v>35</v>
      </c>
      <c r="AJ2" s="34" t="s">
        <v>36</v>
      </c>
      <c r="AK2" s="34" t="s">
        <v>37</v>
      </c>
      <c r="AL2" s="34" t="s">
        <v>37</v>
      </c>
      <c r="AM2" s="34" t="s">
        <v>37</v>
      </c>
    </row>
    <row r="3" spans="2:44" x14ac:dyDescent="0.2">
      <c r="B3" s="36">
        <v>1</v>
      </c>
      <c r="C3" s="36">
        <v>2</v>
      </c>
      <c r="D3" s="36">
        <v>3</v>
      </c>
      <c r="E3" s="36">
        <v>4</v>
      </c>
      <c r="F3" s="36"/>
      <c r="G3" s="36">
        <v>5</v>
      </c>
      <c r="H3" s="36">
        <v>6</v>
      </c>
      <c r="I3" s="36">
        <v>7</v>
      </c>
      <c r="J3" s="36">
        <v>8</v>
      </c>
      <c r="K3" s="36">
        <v>9</v>
      </c>
      <c r="L3" s="36">
        <v>10</v>
      </c>
      <c r="M3" s="36">
        <v>11</v>
      </c>
      <c r="N3" s="36">
        <v>12</v>
      </c>
      <c r="O3" s="36">
        <v>13</v>
      </c>
      <c r="P3" s="36">
        <v>14</v>
      </c>
      <c r="Q3" s="36">
        <v>15</v>
      </c>
      <c r="R3" s="36">
        <v>16</v>
      </c>
      <c r="S3" s="36">
        <v>17</v>
      </c>
      <c r="T3" s="36">
        <v>18</v>
      </c>
      <c r="U3" s="36">
        <v>19</v>
      </c>
      <c r="V3" s="36">
        <v>20</v>
      </c>
      <c r="W3" s="36">
        <v>21</v>
      </c>
      <c r="X3" s="36">
        <v>22</v>
      </c>
      <c r="Y3" s="36">
        <v>23</v>
      </c>
      <c r="Z3" s="36">
        <v>24</v>
      </c>
      <c r="AA3" s="36">
        <v>25</v>
      </c>
      <c r="AB3" s="36">
        <v>26</v>
      </c>
      <c r="AC3" s="36">
        <v>27</v>
      </c>
      <c r="AD3" s="36">
        <v>28</v>
      </c>
      <c r="AE3" s="36">
        <v>29</v>
      </c>
      <c r="AF3" s="36">
        <v>30</v>
      </c>
      <c r="AG3" s="36">
        <v>31</v>
      </c>
      <c r="AH3" s="36">
        <v>32</v>
      </c>
      <c r="AI3" s="36">
        <v>33</v>
      </c>
      <c r="AJ3" s="36">
        <v>34</v>
      </c>
      <c r="AK3" s="36">
        <v>35</v>
      </c>
      <c r="AL3" s="36">
        <v>36</v>
      </c>
      <c r="AM3" s="36">
        <v>37</v>
      </c>
      <c r="AP3" t="str">
        <f>Neuf!E20</f>
        <v>Entre 0 et 200 m</v>
      </c>
    </row>
    <row r="4" spans="2:44" x14ac:dyDescent="0.2">
      <c r="B4" s="37">
        <v>2</v>
      </c>
      <c r="C4" s="38">
        <v>1</v>
      </c>
      <c r="D4" s="38" t="s">
        <v>39</v>
      </c>
      <c r="E4" s="39" t="str">
        <f t="shared" ref="E4:E67" si="0">C4&amp;" - "&amp;D4</f>
        <v>1 - Ain</v>
      </c>
      <c r="F4" s="37">
        <v>2</v>
      </c>
      <c r="G4" s="38" t="s">
        <v>40</v>
      </c>
      <c r="H4" s="38" t="s">
        <v>41</v>
      </c>
      <c r="I4" s="38">
        <v>2</v>
      </c>
      <c r="J4" s="38">
        <f t="shared" ref="J4:J67" si="1">MATCH(L4,M4:AA4,0)-1</f>
        <v>12</v>
      </c>
      <c r="K4" s="38">
        <f>MAX(M4:AA4)</f>
        <v>-10</v>
      </c>
      <c r="L4" s="38">
        <f>MIN(M4:AA4)</f>
        <v>-20</v>
      </c>
      <c r="M4" s="38" t="s">
        <v>2</v>
      </c>
      <c r="N4" s="42" t="s">
        <v>2</v>
      </c>
      <c r="O4" s="38">
        <v>-10</v>
      </c>
      <c r="P4" s="38">
        <v>-11</v>
      </c>
      <c r="Q4" s="38">
        <v>-12</v>
      </c>
      <c r="R4" s="38">
        <v>-13</v>
      </c>
      <c r="S4" s="38">
        <v>-14</v>
      </c>
      <c r="T4" s="38">
        <v>-15</v>
      </c>
      <c r="U4" s="38">
        <v>-16</v>
      </c>
      <c r="V4" s="38">
        <v>-17</v>
      </c>
      <c r="W4" s="38">
        <v>-18</v>
      </c>
      <c r="X4" s="38">
        <v>-19</v>
      </c>
      <c r="Y4" s="38">
        <v>-20</v>
      </c>
      <c r="Z4" s="38" t="s">
        <v>2</v>
      </c>
      <c r="AA4" s="38" t="s">
        <v>2</v>
      </c>
      <c r="AB4" s="40">
        <v>4900</v>
      </c>
      <c r="AC4" s="76">
        <v>63000</v>
      </c>
      <c r="AD4" s="38"/>
      <c r="AE4" s="38"/>
      <c r="AF4" s="38">
        <v>80</v>
      </c>
      <c r="AG4" s="38"/>
      <c r="AH4" s="38">
        <f>IF(AG4=0,AF4,(AF4+AG4)/2)</f>
        <v>80</v>
      </c>
      <c r="AI4" s="38">
        <v>1.5</v>
      </c>
      <c r="AJ4" s="38"/>
      <c r="AK4" s="38" t="s">
        <v>42</v>
      </c>
      <c r="AL4" s="38">
        <v>1450</v>
      </c>
      <c r="AM4" s="41">
        <v>1</v>
      </c>
      <c r="AN4">
        <v>1</v>
      </c>
      <c r="AO4" s="35" t="s">
        <v>161</v>
      </c>
      <c r="AP4">
        <f>IF(AP3=AO4,1,IF(AP3=AO5,2,IF(AP3=AO6,3,IF(AP3=AO7,4,IF(AP3=AO8,5,IF(AP3=AO9,6,IF(AP3=AO10,7)))))))</f>
        <v>1</v>
      </c>
      <c r="AQ4" t="b">
        <f>IF(AP3=AO11,8,IF(AP3=AO12,9,IF(AP3=AO13,10,IF(AP3=AO14,11,IF(AP3=AO15,12,IF(AP3=AO16,13))))))</f>
        <v>0</v>
      </c>
      <c r="AR4">
        <f>AQ4+AP4</f>
        <v>1</v>
      </c>
    </row>
    <row r="5" spans="2:44" x14ac:dyDescent="0.2">
      <c r="B5" s="37">
        <v>3</v>
      </c>
      <c r="C5" s="38">
        <v>2</v>
      </c>
      <c r="D5" s="38" t="s">
        <v>43</v>
      </c>
      <c r="E5" s="39" t="str">
        <f t="shared" si="0"/>
        <v>2 - Aisne</v>
      </c>
      <c r="F5" s="37">
        <v>3</v>
      </c>
      <c r="G5" s="38" t="s">
        <v>40</v>
      </c>
      <c r="H5" s="38" t="s">
        <v>44</v>
      </c>
      <c r="I5" s="38">
        <v>2</v>
      </c>
      <c r="J5" s="38">
        <f t="shared" si="1"/>
        <v>3</v>
      </c>
      <c r="K5" s="38">
        <f t="shared" ref="K5:K68" si="2">MAX(M5:AA5)</f>
        <v>-7</v>
      </c>
      <c r="L5" s="38">
        <f>MIN(M5:AA5)</f>
        <v>-8</v>
      </c>
      <c r="M5" s="38" t="s">
        <v>2</v>
      </c>
      <c r="N5" s="42" t="s">
        <v>2</v>
      </c>
      <c r="O5" s="38">
        <v>-7</v>
      </c>
      <c r="P5" s="38">
        <v>-8</v>
      </c>
      <c r="Q5" s="38" t="s">
        <v>2</v>
      </c>
      <c r="R5" s="38" t="s">
        <v>2</v>
      </c>
      <c r="S5" s="38" t="s">
        <v>2</v>
      </c>
      <c r="T5" s="38" t="s">
        <v>2</v>
      </c>
      <c r="U5" s="38" t="s">
        <v>2</v>
      </c>
      <c r="V5" s="38" t="s">
        <v>2</v>
      </c>
      <c r="W5" s="38" t="s">
        <v>2</v>
      </c>
      <c r="X5" s="38" t="s">
        <v>2</v>
      </c>
      <c r="Y5" s="38" t="s">
        <v>2</v>
      </c>
      <c r="Z5" s="38" t="s">
        <v>2</v>
      </c>
      <c r="AA5" s="38" t="s">
        <v>2</v>
      </c>
      <c r="AB5" s="40">
        <v>5800</v>
      </c>
      <c r="AC5" s="76">
        <v>65400</v>
      </c>
      <c r="AD5" s="38"/>
      <c r="AE5" s="38"/>
      <c r="AF5" s="38">
        <v>73</v>
      </c>
      <c r="AG5" s="38"/>
      <c r="AH5" s="38">
        <f t="shared" ref="AH5:AH68" si="3">IF(AG5=0,AF5,(AF5+AG5)/2)</f>
        <v>73</v>
      </c>
      <c r="AI5" s="38"/>
      <c r="AJ5" s="38"/>
      <c r="AK5" s="38" t="s">
        <v>38</v>
      </c>
      <c r="AL5" s="38">
        <v>1250</v>
      </c>
      <c r="AM5" s="41">
        <v>1</v>
      </c>
      <c r="AN5">
        <v>2</v>
      </c>
      <c r="AO5" s="35" t="s">
        <v>162</v>
      </c>
    </row>
    <row r="6" spans="2:44" x14ac:dyDescent="0.2">
      <c r="B6" s="37">
        <v>4</v>
      </c>
      <c r="C6" s="38">
        <v>3</v>
      </c>
      <c r="D6" s="38" t="s">
        <v>45</v>
      </c>
      <c r="E6" s="39" t="str">
        <f t="shared" si="0"/>
        <v>3 - Allier</v>
      </c>
      <c r="F6" s="37">
        <v>4</v>
      </c>
      <c r="G6" s="38" t="s">
        <v>40</v>
      </c>
      <c r="H6" s="38" t="s">
        <v>41</v>
      </c>
      <c r="I6" s="38">
        <v>2</v>
      </c>
      <c r="J6" s="38">
        <f t="shared" si="1"/>
        <v>14</v>
      </c>
      <c r="K6" s="38">
        <f t="shared" si="2"/>
        <v>-8</v>
      </c>
      <c r="L6" s="38">
        <f>MIN(M6:AA6)</f>
        <v>-20</v>
      </c>
      <c r="M6" s="38" t="s">
        <v>2</v>
      </c>
      <c r="N6" s="42" t="s">
        <v>2</v>
      </c>
      <c r="O6" s="38">
        <v>-8</v>
      </c>
      <c r="P6" s="38">
        <v>-9</v>
      </c>
      <c r="Q6" s="38">
        <v>-10</v>
      </c>
      <c r="R6" s="38">
        <v>-11</v>
      </c>
      <c r="S6" s="38">
        <v>-12</v>
      </c>
      <c r="T6" s="38">
        <v>-13</v>
      </c>
      <c r="U6" s="38">
        <v>-14</v>
      </c>
      <c r="V6" s="38">
        <v>-15</v>
      </c>
      <c r="W6" s="38">
        <v>-16</v>
      </c>
      <c r="X6" s="38">
        <v>-17</v>
      </c>
      <c r="Y6" s="38">
        <v>-18</v>
      </c>
      <c r="Z6" s="38">
        <v>-19</v>
      </c>
      <c r="AA6" s="38">
        <v>-20</v>
      </c>
      <c r="AB6" s="40">
        <v>5100</v>
      </c>
      <c r="AC6" s="76">
        <v>60200</v>
      </c>
      <c r="AD6" s="38"/>
      <c r="AE6" s="38"/>
      <c r="AF6" s="38">
        <v>79</v>
      </c>
      <c r="AG6" s="38"/>
      <c r="AH6" s="38">
        <f t="shared" si="3"/>
        <v>79</v>
      </c>
      <c r="AI6" s="38">
        <v>1.5</v>
      </c>
      <c r="AJ6" s="38"/>
      <c r="AK6" s="38" t="s">
        <v>42</v>
      </c>
      <c r="AL6" s="38">
        <v>1450</v>
      </c>
      <c r="AM6" s="41">
        <v>1</v>
      </c>
      <c r="AN6">
        <v>3</v>
      </c>
      <c r="AO6" s="35" t="s">
        <v>163</v>
      </c>
    </row>
    <row r="7" spans="2:44" x14ac:dyDescent="0.2">
      <c r="B7" s="37">
        <v>5</v>
      </c>
      <c r="C7" s="38">
        <v>4</v>
      </c>
      <c r="D7" s="38" t="s">
        <v>46</v>
      </c>
      <c r="E7" s="39" t="str">
        <f t="shared" si="0"/>
        <v>4 - Alpes de haute provence</v>
      </c>
      <c r="F7" s="37">
        <v>5</v>
      </c>
      <c r="G7" s="38" t="s">
        <v>47</v>
      </c>
      <c r="H7" s="38" t="s">
        <v>48</v>
      </c>
      <c r="I7" s="38">
        <v>2</v>
      </c>
      <c r="J7" s="38">
        <f t="shared" si="1"/>
        <v>14</v>
      </c>
      <c r="K7" s="38">
        <f t="shared" si="2"/>
        <v>-8</v>
      </c>
      <c r="L7" s="38">
        <f t="shared" ref="L7:L70" si="4">MIN(M7:AA7)</f>
        <v>-20</v>
      </c>
      <c r="M7" s="38" t="s">
        <v>2</v>
      </c>
      <c r="N7" s="42" t="s">
        <v>2</v>
      </c>
      <c r="O7" s="38">
        <v>-8</v>
      </c>
      <c r="P7" s="38">
        <v>-9</v>
      </c>
      <c r="Q7" s="38">
        <v>-10</v>
      </c>
      <c r="R7" s="38">
        <v>-11</v>
      </c>
      <c r="S7" s="38">
        <v>-12</v>
      </c>
      <c r="T7" s="38">
        <v>-13</v>
      </c>
      <c r="U7" s="38">
        <v>-14</v>
      </c>
      <c r="V7" s="38">
        <v>-15</v>
      </c>
      <c r="W7" s="38">
        <v>-16</v>
      </c>
      <c r="X7" s="38">
        <v>-17</v>
      </c>
      <c r="Y7" s="38">
        <v>-18</v>
      </c>
      <c r="Z7" s="38">
        <v>-19</v>
      </c>
      <c r="AA7" s="38">
        <v>-20</v>
      </c>
      <c r="AB7" s="40">
        <v>4100</v>
      </c>
      <c r="AC7" s="76">
        <v>53100</v>
      </c>
      <c r="AD7" s="38"/>
      <c r="AE7" s="38"/>
      <c r="AF7" s="38">
        <v>132</v>
      </c>
      <c r="AG7" s="38"/>
      <c r="AH7" s="38">
        <f t="shared" si="3"/>
        <v>132</v>
      </c>
      <c r="AI7" s="38">
        <v>1.5</v>
      </c>
      <c r="AJ7" s="38"/>
      <c r="AK7" s="38" t="s">
        <v>49</v>
      </c>
      <c r="AL7" s="38">
        <v>2200</v>
      </c>
      <c r="AM7" s="41">
        <v>1.2</v>
      </c>
      <c r="AN7">
        <v>4</v>
      </c>
      <c r="AO7" s="35" t="s">
        <v>164</v>
      </c>
    </row>
    <row r="8" spans="2:44" x14ac:dyDescent="0.2">
      <c r="B8" s="37">
        <v>6</v>
      </c>
      <c r="C8" s="38">
        <v>5</v>
      </c>
      <c r="D8" s="38" t="s">
        <v>50</v>
      </c>
      <c r="E8" s="39" t="str">
        <f t="shared" si="0"/>
        <v>5 - Hautes-Alpes</v>
      </c>
      <c r="F8" s="37">
        <v>6</v>
      </c>
      <c r="G8" s="38" t="s">
        <v>40</v>
      </c>
      <c r="H8" s="38" t="s">
        <v>48</v>
      </c>
      <c r="I8" s="38">
        <v>2</v>
      </c>
      <c r="J8" s="38">
        <f t="shared" si="1"/>
        <v>12</v>
      </c>
      <c r="K8" s="38">
        <f t="shared" si="2"/>
        <v>-10</v>
      </c>
      <c r="L8" s="38">
        <f t="shared" si="4"/>
        <v>-20</v>
      </c>
      <c r="M8" s="38" t="s">
        <v>2</v>
      </c>
      <c r="N8" s="42" t="s">
        <v>2</v>
      </c>
      <c r="O8" s="38">
        <v>-10</v>
      </c>
      <c r="P8" s="38">
        <v>-11</v>
      </c>
      <c r="Q8" s="38">
        <v>-12</v>
      </c>
      <c r="R8" s="38">
        <v>-13</v>
      </c>
      <c r="S8" s="38">
        <v>-14</v>
      </c>
      <c r="T8" s="38">
        <v>-15</v>
      </c>
      <c r="U8" s="38">
        <v>-16</v>
      </c>
      <c r="V8" s="38">
        <v>-17</v>
      </c>
      <c r="W8" s="38">
        <v>-18</v>
      </c>
      <c r="X8" s="38">
        <v>-19</v>
      </c>
      <c r="Y8" s="38">
        <v>-20</v>
      </c>
      <c r="Z8" s="38" t="s">
        <v>2</v>
      </c>
      <c r="AA8" s="38" t="s">
        <v>2</v>
      </c>
      <c r="AB8" s="40">
        <v>4200</v>
      </c>
      <c r="AC8" s="76">
        <v>63000</v>
      </c>
      <c r="AD8" s="38" t="s">
        <v>51</v>
      </c>
      <c r="AE8" s="38" t="s">
        <v>52</v>
      </c>
      <c r="AF8" s="38">
        <v>125</v>
      </c>
      <c r="AG8" s="38">
        <v>135</v>
      </c>
      <c r="AH8" s="38">
        <f t="shared" si="3"/>
        <v>130</v>
      </c>
      <c r="AI8" s="38">
        <v>1.5</v>
      </c>
      <c r="AJ8" s="38"/>
      <c r="AK8" s="38" t="s">
        <v>53</v>
      </c>
      <c r="AL8" s="38">
        <v>1800</v>
      </c>
      <c r="AM8" s="41">
        <v>1.3</v>
      </c>
      <c r="AN8">
        <v>5</v>
      </c>
      <c r="AO8" s="35" t="s">
        <v>165</v>
      </c>
    </row>
    <row r="9" spans="2:44" x14ac:dyDescent="0.2">
      <c r="B9" s="37">
        <v>7</v>
      </c>
      <c r="C9" s="38">
        <v>6</v>
      </c>
      <c r="D9" s="38" t="s">
        <v>54</v>
      </c>
      <c r="E9" s="39" t="str">
        <f t="shared" si="0"/>
        <v>6 - Alpes maritimes</v>
      </c>
      <c r="F9" s="37">
        <v>7</v>
      </c>
      <c r="G9" s="38" t="s">
        <v>55</v>
      </c>
      <c r="H9" s="38" t="s">
        <v>48</v>
      </c>
      <c r="I9" s="38">
        <v>0</v>
      </c>
      <c r="J9" s="38">
        <f t="shared" si="1"/>
        <v>14</v>
      </c>
      <c r="K9" s="38">
        <f t="shared" si="2"/>
        <v>0</v>
      </c>
      <c r="L9" s="38">
        <f t="shared" si="4"/>
        <v>-12</v>
      </c>
      <c r="M9" s="38">
        <v>0</v>
      </c>
      <c r="N9" s="42">
        <v>-2</v>
      </c>
      <c r="O9" s="38">
        <v>-5</v>
      </c>
      <c r="P9" s="38">
        <v>-6</v>
      </c>
      <c r="Q9" s="38">
        <v>-7</v>
      </c>
      <c r="R9" s="38">
        <v>-7</v>
      </c>
      <c r="S9" s="38">
        <v>-8</v>
      </c>
      <c r="T9" s="38">
        <v>-8</v>
      </c>
      <c r="U9" s="38">
        <v>-9</v>
      </c>
      <c r="V9" s="38">
        <v>-9</v>
      </c>
      <c r="W9" s="38">
        <v>-10</v>
      </c>
      <c r="X9" s="38">
        <v>-10</v>
      </c>
      <c r="Y9" s="38">
        <v>-11</v>
      </c>
      <c r="Z9" s="38">
        <v>-11</v>
      </c>
      <c r="AA9" s="38">
        <v>-12</v>
      </c>
      <c r="AB9" s="40">
        <v>3900</v>
      </c>
      <c r="AC9" s="76">
        <v>36000</v>
      </c>
      <c r="AD9" s="38"/>
      <c r="AE9" s="38"/>
      <c r="AF9" s="38">
        <v>135</v>
      </c>
      <c r="AG9" s="38"/>
      <c r="AH9" s="38">
        <f t="shared" si="3"/>
        <v>135</v>
      </c>
      <c r="AI9" s="38">
        <v>1.8</v>
      </c>
      <c r="AJ9" s="38">
        <v>5</v>
      </c>
      <c r="AK9" s="38" t="s">
        <v>49</v>
      </c>
      <c r="AL9" s="38">
        <v>2200</v>
      </c>
      <c r="AM9" s="41">
        <v>1.1000000000000001</v>
      </c>
      <c r="AN9">
        <v>6</v>
      </c>
      <c r="AO9" s="35" t="s">
        <v>166</v>
      </c>
    </row>
    <row r="10" spans="2:44" x14ac:dyDescent="0.2">
      <c r="B10" s="37">
        <v>8</v>
      </c>
      <c r="C10" s="38">
        <v>7</v>
      </c>
      <c r="D10" s="38" t="s">
        <v>56</v>
      </c>
      <c r="E10" s="39" t="str">
        <f t="shared" si="0"/>
        <v>7 - Ardèche</v>
      </c>
      <c r="F10" s="37">
        <v>8</v>
      </c>
      <c r="G10" s="38" t="s">
        <v>47</v>
      </c>
      <c r="H10" s="38" t="s">
        <v>48</v>
      </c>
      <c r="I10" s="38">
        <v>2</v>
      </c>
      <c r="J10" s="38">
        <f t="shared" si="1"/>
        <v>10</v>
      </c>
      <c r="K10" s="38">
        <f t="shared" si="2"/>
        <v>-6</v>
      </c>
      <c r="L10" s="38">
        <f t="shared" si="4"/>
        <v>-14</v>
      </c>
      <c r="M10" s="38" t="s">
        <v>2</v>
      </c>
      <c r="N10" s="42" t="s">
        <v>2</v>
      </c>
      <c r="O10" s="38">
        <v>-6</v>
      </c>
      <c r="P10" s="38">
        <v>-7</v>
      </c>
      <c r="Q10" s="38">
        <v>-8</v>
      </c>
      <c r="R10" s="38">
        <v>-9</v>
      </c>
      <c r="S10" s="38">
        <v>-10</v>
      </c>
      <c r="T10" s="38">
        <v>-11</v>
      </c>
      <c r="U10" s="38">
        <v>-12</v>
      </c>
      <c r="V10" s="38">
        <v>-13</v>
      </c>
      <c r="W10" s="38">
        <v>-14</v>
      </c>
      <c r="X10" s="38" t="s">
        <v>2</v>
      </c>
      <c r="Y10" s="38" t="s">
        <v>2</v>
      </c>
      <c r="Z10" s="38" t="s">
        <v>2</v>
      </c>
      <c r="AA10" s="38" t="s">
        <v>2</v>
      </c>
      <c r="AB10" s="40">
        <v>4900</v>
      </c>
      <c r="AC10" s="76">
        <v>55500</v>
      </c>
      <c r="AD10" s="38" t="s">
        <v>57</v>
      </c>
      <c r="AE10" s="38" t="s">
        <v>58</v>
      </c>
      <c r="AF10" s="38">
        <v>95</v>
      </c>
      <c r="AG10" s="38">
        <v>110</v>
      </c>
      <c r="AH10" s="38">
        <f t="shared" si="3"/>
        <v>102.5</v>
      </c>
      <c r="AI10" s="38">
        <v>1.5</v>
      </c>
      <c r="AJ10" s="38"/>
      <c r="AK10" s="38" t="s">
        <v>53</v>
      </c>
      <c r="AL10" s="38">
        <v>1800</v>
      </c>
      <c r="AM10" s="41">
        <v>1</v>
      </c>
      <c r="AN10">
        <v>7</v>
      </c>
      <c r="AO10" s="35" t="s">
        <v>167</v>
      </c>
    </row>
    <row r="11" spans="2:44" x14ac:dyDescent="0.2">
      <c r="B11" s="37">
        <v>9</v>
      </c>
      <c r="C11" s="38">
        <v>8</v>
      </c>
      <c r="D11" s="38" t="s">
        <v>59</v>
      </c>
      <c r="E11" s="39" t="str">
        <f t="shared" si="0"/>
        <v>8 - Ardennes</v>
      </c>
      <c r="F11" s="37">
        <v>9</v>
      </c>
      <c r="G11" s="38" t="s">
        <v>40</v>
      </c>
      <c r="H11" s="38" t="s">
        <v>60</v>
      </c>
      <c r="I11" s="38">
        <v>2</v>
      </c>
      <c r="J11" s="38">
        <f t="shared" si="1"/>
        <v>4</v>
      </c>
      <c r="K11" s="38">
        <f t="shared" si="2"/>
        <v>-10</v>
      </c>
      <c r="L11" s="38">
        <f t="shared" si="4"/>
        <v>-12</v>
      </c>
      <c r="M11" s="38" t="s">
        <v>2</v>
      </c>
      <c r="N11" s="42" t="s">
        <v>2</v>
      </c>
      <c r="O11" s="38">
        <v>-10</v>
      </c>
      <c r="P11" s="38">
        <v>-11</v>
      </c>
      <c r="Q11" s="38">
        <v>-12</v>
      </c>
      <c r="R11" s="38" t="s">
        <v>2</v>
      </c>
      <c r="S11" s="38" t="s">
        <v>2</v>
      </c>
      <c r="T11" s="38" t="s">
        <v>2</v>
      </c>
      <c r="U11" s="38" t="s">
        <v>2</v>
      </c>
      <c r="V11" s="38" t="s">
        <v>2</v>
      </c>
      <c r="W11" s="38" t="s">
        <v>2</v>
      </c>
      <c r="X11" s="38" t="s">
        <v>2</v>
      </c>
      <c r="Y11" s="38" t="s">
        <v>2</v>
      </c>
      <c r="Z11" s="38" t="s">
        <v>2</v>
      </c>
      <c r="AA11" s="38" t="s">
        <v>2</v>
      </c>
      <c r="AB11" s="40">
        <v>5600</v>
      </c>
      <c r="AC11" s="76">
        <v>70500</v>
      </c>
      <c r="AD11" s="38"/>
      <c r="AE11" s="38"/>
      <c r="AF11" s="38">
        <v>71</v>
      </c>
      <c r="AG11" s="38"/>
      <c r="AH11" s="38">
        <f t="shared" si="3"/>
        <v>71</v>
      </c>
      <c r="AI11" s="38"/>
      <c r="AJ11" s="38"/>
      <c r="AK11" s="38" t="s">
        <v>38</v>
      </c>
      <c r="AL11" s="38">
        <v>1250</v>
      </c>
      <c r="AM11" s="41">
        <v>1</v>
      </c>
      <c r="AN11">
        <v>8</v>
      </c>
      <c r="AO11" s="35" t="s">
        <v>168</v>
      </c>
    </row>
    <row r="12" spans="2:44" x14ac:dyDescent="0.2">
      <c r="B12" s="37">
        <v>10</v>
      </c>
      <c r="C12" s="38">
        <v>9</v>
      </c>
      <c r="D12" s="38" t="s">
        <v>61</v>
      </c>
      <c r="E12" s="39" t="str">
        <f t="shared" si="0"/>
        <v>9 - Ariège</v>
      </c>
      <c r="F12" s="37">
        <v>10</v>
      </c>
      <c r="G12" s="38" t="s">
        <v>47</v>
      </c>
      <c r="H12" s="38" t="s">
        <v>41</v>
      </c>
      <c r="I12" s="38">
        <v>2</v>
      </c>
      <c r="J12" s="38">
        <f t="shared" si="1"/>
        <v>14</v>
      </c>
      <c r="K12" s="38">
        <f t="shared" si="2"/>
        <v>-5</v>
      </c>
      <c r="L12" s="38">
        <f t="shared" si="4"/>
        <v>-12</v>
      </c>
      <c r="M12" s="38" t="s">
        <v>2</v>
      </c>
      <c r="N12" s="42" t="s">
        <v>2</v>
      </c>
      <c r="O12" s="38">
        <v>-5</v>
      </c>
      <c r="P12" s="38">
        <v>-6</v>
      </c>
      <c r="Q12" s="38">
        <v>-7</v>
      </c>
      <c r="R12" s="38">
        <v>-7</v>
      </c>
      <c r="S12" s="38">
        <v>-8</v>
      </c>
      <c r="T12" s="38">
        <v>-8</v>
      </c>
      <c r="U12" s="38">
        <v>-9</v>
      </c>
      <c r="V12" s="38">
        <v>-9</v>
      </c>
      <c r="W12" s="38">
        <v>-10</v>
      </c>
      <c r="X12" s="38">
        <v>-10</v>
      </c>
      <c r="Y12" s="38">
        <v>-11</v>
      </c>
      <c r="Z12" s="38">
        <v>-11</v>
      </c>
      <c r="AA12" s="38">
        <v>-12</v>
      </c>
      <c r="AB12" s="40">
        <v>4400</v>
      </c>
      <c r="AC12" s="76">
        <v>54500</v>
      </c>
      <c r="AD12" s="38"/>
      <c r="AE12" s="38"/>
      <c r="AF12" s="38">
        <v>110</v>
      </c>
      <c r="AG12" s="38"/>
      <c r="AH12" s="38">
        <f t="shared" si="3"/>
        <v>110</v>
      </c>
      <c r="AI12" s="38">
        <v>1.5</v>
      </c>
      <c r="AJ12" s="38"/>
      <c r="AK12" s="38" t="s">
        <v>53</v>
      </c>
      <c r="AL12" s="38">
        <v>1800</v>
      </c>
      <c r="AM12" s="41">
        <v>1</v>
      </c>
      <c r="AN12">
        <v>9</v>
      </c>
      <c r="AO12" s="35" t="s">
        <v>169</v>
      </c>
    </row>
    <row r="13" spans="2:44" x14ac:dyDescent="0.2">
      <c r="B13" s="37">
        <v>11</v>
      </c>
      <c r="C13" s="38">
        <v>10</v>
      </c>
      <c r="D13" s="38" t="s">
        <v>62</v>
      </c>
      <c r="E13" s="39" t="str">
        <f t="shared" si="0"/>
        <v>10 - Aube</v>
      </c>
      <c r="F13" s="37">
        <v>11</v>
      </c>
      <c r="G13" s="38" t="s">
        <v>40</v>
      </c>
      <c r="H13" s="38" t="s">
        <v>60</v>
      </c>
      <c r="I13" s="38">
        <v>2</v>
      </c>
      <c r="J13" s="38">
        <f t="shared" si="1"/>
        <v>3</v>
      </c>
      <c r="K13" s="38">
        <f t="shared" si="2"/>
        <v>-10</v>
      </c>
      <c r="L13" s="38">
        <f t="shared" si="4"/>
        <v>-11</v>
      </c>
      <c r="M13" s="38" t="s">
        <v>2</v>
      </c>
      <c r="N13" s="42" t="s">
        <v>2</v>
      </c>
      <c r="O13" s="38">
        <v>-10</v>
      </c>
      <c r="P13" s="38">
        <v>-11</v>
      </c>
      <c r="Q13" s="38" t="s">
        <v>2</v>
      </c>
      <c r="R13" s="38" t="s">
        <v>2</v>
      </c>
      <c r="S13" s="38" t="s">
        <v>2</v>
      </c>
      <c r="T13" s="38" t="s">
        <v>2</v>
      </c>
      <c r="U13" s="38" t="s">
        <v>2</v>
      </c>
      <c r="V13" s="38" t="s">
        <v>2</v>
      </c>
      <c r="W13" s="38" t="s">
        <v>2</v>
      </c>
      <c r="X13" s="38" t="s">
        <v>2</v>
      </c>
      <c r="Y13" s="38" t="s">
        <v>2</v>
      </c>
      <c r="Z13" s="38" t="s">
        <v>2</v>
      </c>
      <c r="AA13" s="38" t="s">
        <v>2</v>
      </c>
      <c r="AB13" s="40">
        <v>5500</v>
      </c>
      <c r="AC13" s="76">
        <v>62900</v>
      </c>
      <c r="AD13" s="38"/>
      <c r="AE13" s="38"/>
      <c r="AF13" s="38">
        <v>74</v>
      </c>
      <c r="AG13" s="38"/>
      <c r="AH13" s="38">
        <f t="shared" si="3"/>
        <v>74</v>
      </c>
      <c r="AI13" s="38"/>
      <c r="AJ13" s="38"/>
      <c r="AK13" s="38" t="s">
        <v>38</v>
      </c>
      <c r="AL13" s="38">
        <v>1250</v>
      </c>
      <c r="AM13" s="41">
        <v>1</v>
      </c>
      <c r="AN13">
        <v>10</v>
      </c>
      <c r="AO13" s="35" t="s">
        <v>170</v>
      </c>
    </row>
    <row r="14" spans="2:44" x14ac:dyDescent="0.2">
      <c r="B14" s="37">
        <v>12</v>
      </c>
      <c r="C14" s="38">
        <v>11</v>
      </c>
      <c r="D14" s="38" t="s">
        <v>63</v>
      </c>
      <c r="E14" s="39" t="str">
        <f t="shared" si="0"/>
        <v>11 - Aude</v>
      </c>
      <c r="F14" s="37">
        <v>12</v>
      </c>
      <c r="G14" s="38" t="s">
        <v>55</v>
      </c>
      <c r="H14" s="38" t="s">
        <v>48</v>
      </c>
      <c r="I14" s="38">
        <v>0</v>
      </c>
      <c r="J14" s="38">
        <f t="shared" si="1"/>
        <v>14</v>
      </c>
      <c r="K14" s="38">
        <f t="shared" si="2"/>
        <v>-2</v>
      </c>
      <c r="L14" s="38">
        <f t="shared" si="4"/>
        <v>-12</v>
      </c>
      <c r="M14" s="38">
        <v>-2</v>
      </c>
      <c r="N14" s="42">
        <v>-4</v>
      </c>
      <c r="O14" s="38">
        <v>-5</v>
      </c>
      <c r="P14" s="38">
        <v>-6</v>
      </c>
      <c r="Q14" s="38">
        <v>-7</v>
      </c>
      <c r="R14" s="38">
        <v>-7</v>
      </c>
      <c r="S14" s="38">
        <v>-8</v>
      </c>
      <c r="T14" s="38">
        <v>-8</v>
      </c>
      <c r="U14" s="38">
        <v>-9</v>
      </c>
      <c r="V14" s="38">
        <v>-9</v>
      </c>
      <c r="W14" s="38">
        <v>-10</v>
      </c>
      <c r="X14" s="38">
        <v>-10</v>
      </c>
      <c r="Y14" s="38">
        <v>-11</v>
      </c>
      <c r="Z14" s="38">
        <v>-11</v>
      </c>
      <c r="AA14" s="38">
        <v>-12</v>
      </c>
      <c r="AB14" s="40">
        <v>4000</v>
      </c>
      <c r="AC14" s="76">
        <v>46300</v>
      </c>
      <c r="AD14" s="38" t="s">
        <v>64</v>
      </c>
      <c r="AE14" s="43" t="s">
        <v>65</v>
      </c>
      <c r="AF14" s="38">
        <v>101</v>
      </c>
      <c r="AG14" s="38">
        <v>127</v>
      </c>
      <c r="AH14" s="38">
        <f t="shared" si="3"/>
        <v>114</v>
      </c>
      <c r="AI14" s="38">
        <v>1.8</v>
      </c>
      <c r="AJ14" s="38">
        <v>5</v>
      </c>
      <c r="AK14" s="38" t="s">
        <v>49</v>
      </c>
      <c r="AL14" s="38">
        <v>2200</v>
      </c>
      <c r="AM14" s="41">
        <v>1</v>
      </c>
      <c r="AN14">
        <v>11</v>
      </c>
      <c r="AO14" s="35" t="s">
        <v>171</v>
      </c>
    </row>
    <row r="15" spans="2:44" x14ac:dyDescent="0.2">
      <c r="B15" s="37">
        <v>13</v>
      </c>
      <c r="C15" s="38">
        <v>12</v>
      </c>
      <c r="D15" s="38" t="s">
        <v>66</v>
      </c>
      <c r="E15" s="39" t="str">
        <f t="shared" si="0"/>
        <v>12 - Aveyron</v>
      </c>
      <c r="F15" s="37">
        <v>13</v>
      </c>
      <c r="G15" s="38" t="s">
        <v>47</v>
      </c>
      <c r="H15" s="38" t="s">
        <v>41</v>
      </c>
      <c r="I15" s="38">
        <v>2</v>
      </c>
      <c r="J15" s="38">
        <f t="shared" si="1"/>
        <v>13</v>
      </c>
      <c r="K15" s="38">
        <f t="shared" si="2"/>
        <v>-8</v>
      </c>
      <c r="L15" s="38">
        <f t="shared" si="4"/>
        <v>-19</v>
      </c>
      <c r="M15" s="38" t="s">
        <v>2</v>
      </c>
      <c r="N15" s="42" t="s">
        <v>2</v>
      </c>
      <c r="O15" s="38">
        <v>-8</v>
      </c>
      <c r="P15" s="38">
        <v>-9</v>
      </c>
      <c r="Q15" s="38">
        <v>-10</v>
      </c>
      <c r="R15" s="38">
        <v>-11</v>
      </c>
      <c r="S15" s="38">
        <v>-12</v>
      </c>
      <c r="T15" s="38">
        <v>-13</v>
      </c>
      <c r="U15" s="38">
        <v>-14</v>
      </c>
      <c r="V15" s="38">
        <v>-15</v>
      </c>
      <c r="W15" s="38">
        <v>-16</v>
      </c>
      <c r="X15" s="38">
        <v>-17</v>
      </c>
      <c r="Y15" s="38">
        <v>-18</v>
      </c>
      <c r="Z15" s="38">
        <v>-19</v>
      </c>
      <c r="AA15" s="38" t="s">
        <v>2</v>
      </c>
      <c r="AB15" s="40">
        <v>4400</v>
      </c>
      <c r="AC15" s="76">
        <v>52100</v>
      </c>
      <c r="AD15" s="38" t="s">
        <v>57</v>
      </c>
      <c r="AE15" s="38" t="s">
        <v>58</v>
      </c>
      <c r="AF15" s="38">
        <v>90</v>
      </c>
      <c r="AG15" s="38">
        <v>103</v>
      </c>
      <c r="AH15" s="38">
        <f t="shared" si="3"/>
        <v>96.5</v>
      </c>
      <c r="AI15" s="38">
        <v>1.5</v>
      </c>
      <c r="AJ15" s="38"/>
      <c r="AK15" s="38" t="s">
        <v>53</v>
      </c>
      <c r="AL15" s="38">
        <v>1800</v>
      </c>
      <c r="AM15" s="41">
        <v>1</v>
      </c>
      <c r="AN15">
        <v>12</v>
      </c>
      <c r="AO15" s="35" t="s">
        <v>172</v>
      </c>
    </row>
    <row r="16" spans="2:44" x14ac:dyDescent="0.2">
      <c r="B16" s="37">
        <v>14</v>
      </c>
      <c r="C16" s="38">
        <v>13</v>
      </c>
      <c r="D16" s="38" t="s">
        <v>67</v>
      </c>
      <c r="E16" s="39" t="str">
        <f t="shared" si="0"/>
        <v>13 - Bouches-du-Rhône</v>
      </c>
      <c r="F16" s="37">
        <v>14</v>
      </c>
      <c r="G16" s="38" t="s">
        <v>55</v>
      </c>
      <c r="H16" s="38" t="s">
        <v>48</v>
      </c>
      <c r="I16" s="38">
        <v>0</v>
      </c>
      <c r="J16" s="38">
        <f t="shared" si="1"/>
        <v>14</v>
      </c>
      <c r="K16" s="38">
        <f t="shared" si="2"/>
        <v>-3</v>
      </c>
      <c r="L16" s="38">
        <f t="shared" si="4"/>
        <v>-12</v>
      </c>
      <c r="M16" s="38">
        <v>-3</v>
      </c>
      <c r="N16" s="42">
        <v>-5</v>
      </c>
      <c r="O16" s="38">
        <v>-5</v>
      </c>
      <c r="P16" s="38">
        <v>-6</v>
      </c>
      <c r="Q16" s="38">
        <v>-7</v>
      </c>
      <c r="R16" s="38">
        <v>-7</v>
      </c>
      <c r="S16" s="38">
        <v>-8</v>
      </c>
      <c r="T16" s="38">
        <v>-8</v>
      </c>
      <c r="U16" s="38">
        <v>-9</v>
      </c>
      <c r="V16" s="38">
        <v>-9</v>
      </c>
      <c r="W16" s="38">
        <v>-10</v>
      </c>
      <c r="X16" s="38">
        <v>-10</v>
      </c>
      <c r="Y16" s="38">
        <v>-11</v>
      </c>
      <c r="Z16" s="38">
        <v>-11</v>
      </c>
      <c r="AA16" s="38">
        <v>-12</v>
      </c>
      <c r="AB16" s="40">
        <v>4000</v>
      </c>
      <c r="AC16" s="76">
        <v>36000</v>
      </c>
      <c r="AD16" s="38"/>
      <c r="AE16" s="38"/>
      <c r="AF16" s="38">
        <v>132</v>
      </c>
      <c r="AG16" s="38"/>
      <c r="AH16" s="38">
        <f t="shared" si="3"/>
        <v>132</v>
      </c>
      <c r="AI16" s="38">
        <v>1.8</v>
      </c>
      <c r="AJ16" s="38">
        <v>5</v>
      </c>
      <c r="AK16" s="38" t="s">
        <v>49</v>
      </c>
      <c r="AL16" s="38">
        <v>2200</v>
      </c>
      <c r="AM16" s="41">
        <v>1</v>
      </c>
      <c r="AN16">
        <v>13</v>
      </c>
      <c r="AO16" s="45" t="s">
        <v>173</v>
      </c>
    </row>
    <row r="17" spans="2:39" x14ac:dyDescent="0.2">
      <c r="B17" s="37">
        <v>15</v>
      </c>
      <c r="C17" s="38">
        <v>14</v>
      </c>
      <c r="D17" s="38" t="s">
        <v>68</v>
      </c>
      <c r="E17" s="39" t="str">
        <f t="shared" si="0"/>
        <v>14 - Calvados</v>
      </c>
      <c r="F17" s="37">
        <v>15</v>
      </c>
      <c r="G17" s="38" t="s">
        <v>40</v>
      </c>
      <c r="H17" s="38" t="s">
        <v>44</v>
      </c>
      <c r="I17" s="38">
        <v>0</v>
      </c>
      <c r="J17" s="38">
        <f t="shared" si="1"/>
        <v>3</v>
      </c>
      <c r="K17" s="38">
        <f t="shared" si="2"/>
        <v>-5</v>
      </c>
      <c r="L17" s="38">
        <f t="shared" si="4"/>
        <v>-8</v>
      </c>
      <c r="M17" s="38">
        <v>-5</v>
      </c>
      <c r="N17" s="42">
        <v>-7</v>
      </c>
      <c r="O17" s="38">
        <v>-7</v>
      </c>
      <c r="P17" s="38">
        <v>-8</v>
      </c>
      <c r="Q17" s="38" t="s">
        <v>2</v>
      </c>
      <c r="R17" s="38" t="s">
        <v>2</v>
      </c>
      <c r="S17" s="38" t="s">
        <v>2</v>
      </c>
      <c r="T17" s="38" t="s">
        <v>2</v>
      </c>
      <c r="U17" s="38" t="s">
        <v>2</v>
      </c>
      <c r="V17" s="38" t="s">
        <v>2</v>
      </c>
      <c r="W17" s="38" t="s">
        <v>2</v>
      </c>
      <c r="X17" s="38" t="s">
        <v>2</v>
      </c>
      <c r="Y17" s="38" t="s">
        <v>2</v>
      </c>
      <c r="Z17" s="38" t="s">
        <v>2</v>
      </c>
      <c r="AA17" s="38" t="s">
        <v>2</v>
      </c>
      <c r="AB17" s="40">
        <v>5700</v>
      </c>
      <c r="AC17" s="76">
        <v>57900</v>
      </c>
      <c r="AD17" s="38"/>
      <c r="AE17" s="38"/>
      <c r="AF17" s="38">
        <v>79</v>
      </c>
      <c r="AG17" s="38"/>
      <c r="AH17" s="38">
        <f t="shared" si="3"/>
        <v>79</v>
      </c>
      <c r="AI17" s="38"/>
      <c r="AJ17" s="38">
        <v>5</v>
      </c>
      <c r="AK17" s="38" t="s">
        <v>38</v>
      </c>
      <c r="AL17" s="38">
        <v>1250</v>
      </c>
      <c r="AM17" s="41">
        <v>1</v>
      </c>
    </row>
    <row r="18" spans="2:39" x14ac:dyDescent="0.2">
      <c r="B18" s="37">
        <v>16</v>
      </c>
      <c r="C18" s="38">
        <v>15</v>
      </c>
      <c r="D18" s="38" t="s">
        <v>69</v>
      </c>
      <c r="E18" s="39" t="str">
        <f t="shared" si="0"/>
        <v>15 - Cantal</v>
      </c>
      <c r="F18" s="37">
        <v>16</v>
      </c>
      <c r="G18" s="38" t="s">
        <v>40</v>
      </c>
      <c r="H18" s="38" t="s">
        <v>41</v>
      </c>
      <c r="I18" s="38">
        <v>0</v>
      </c>
      <c r="J18" s="38">
        <f t="shared" si="1"/>
        <v>13</v>
      </c>
      <c r="K18" s="38">
        <f t="shared" si="2"/>
        <v>-8</v>
      </c>
      <c r="L18" s="38">
        <f t="shared" si="4"/>
        <v>-19</v>
      </c>
      <c r="M18" s="38" t="s">
        <v>2</v>
      </c>
      <c r="N18" s="42" t="s">
        <v>2</v>
      </c>
      <c r="O18" s="38">
        <v>-8</v>
      </c>
      <c r="P18" s="38">
        <v>-9</v>
      </c>
      <c r="Q18" s="38">
        <v>-10</v>
      </c>
      <c r="R18" s="38">
        <v>-11</v>
      </c>
      <c r="S18" s="38">
        <v>-12</v>
      </c>
      <c r="T18" s="38">
        <v>-13</v>
      </c>
      <c r="U18" s="38">
        <v>-14</v>
      </c>
      <c r="V18" s="38">
        <v>-15</v>
      </c>
      <c r="W18" s="38">
        <v>-16</v>
      </c>
      <c r="X18" s="38">
        <v>-17</v>
      </c>
      <c r="Y18" s="38">
        <v>-18</v>
      </c>
      <c r="Z18" s="38">
        <v>-19</v>
      </c>
      <c r="AA18" s="38" t="s">
        <v>2</v>
      </c>
      <c r="AB18" s="40">
        <v>5000</v>
      </c>
      <c r="AC18" s="76">
        <v>57600</v>
      </c>
      <c r="AD18" s="38"/>
      <c r="AE18" s="38"/>
      <c r="AF18" s="38">
        <v>87</v>
      </c>
      <c r="AG18" s="38"/>
      <c r="AH18" s="38">
        <f t="shared" si="3"/>
        <v>87</v>
      </c>
      <c r="AI18" s="38">
        <v>1.5</v>
      </c>
      <c r="AJ18" s="38"/>
      <c r="AK18" s="38" t="s">
        <v>42</v>
      </c>
      <c r="AL18" s="38">
        <v>1450</v>
      </c>
      <c r="AM18" s="41">
        <v>1.1000000000000001</v>
      </c>
    </row>
    <row r="19" spans="2:39" x14ac:dyDescent="0.2">
      <c r="B19" s="37">
        <v>17</v>
      </c>
      <c r="C19" s="38">
        <v>16</v>
      </c>
      <c r="D19" s="38" t="s">
        <v>70</v>
      </c>
      <c r="E19" s="39" t="str">
        <f t="shared" si="0"/>
        <v>16 - Charente</v>
      </c>
      <c r="F19" s="37">
        <v>17</v>
      </c>
      <c r="G19" s="38" t="s">
        <v>47</v>
      </c>
      <c r="H19" s="38" t="s">
        <v>41</v>
      </c>
      <c r="I19" s="38">
        <v>0</v>
      </c>
      <c r="J19" s="38">
        <f t="shared" si="1"/>
        <v>3</v>
      </c>
      <c r="K19" s="38">
        <f t="shared" si="2"/>
        <v>-5</v>
      </c>
      <c r="L19" s="38">
        <f t="shared" si="4"/>
        <v>-6</v>
      </c>
      <c r="M19" s="38" t="s">
        <v>2</v>
      </c>
      <c r="N19" s="42" t="s">
        <v>2</v>
      </c>
      <c r="O19" s="38">
        <v>-5</v>
      </c>
      <c r="P19" s="38">
        <v>-6</v>
      </c>
      <c r="Q19" s="38" t="s">
        <v>2</v>
      </c>
      <c r="R19" s="38" t="s">
        <v>2</v>
      </c>
      <c r="S19" s="38" t="s">
        <v>2</v>
      </c>
      <c r="T19" s="38" t="s">
        <v>2</v>
      </c>
      <c r="U19" s="38" t="s">
        <v>2</v>
      </c>
      <c r="V19" s="38" t="s">
        <v>2</v>
      </c>
      <c r="W19" s="38" t="s">
        <v>2</v>
      </c>
      <c r="X19" s="38" t="s">
        <v>2</v>
      </c>
      <c r="Y19" s="38" t="s">
        <v>2</v>
      </c>
      <c r="Z19" s="38" t="s">
        <v>2</v>
      </c>
      <c r="AA19" s="38" t="s">
        <v>2</v>
      </c>
      <c r="AB19" s="40">
        <v>5000</v>
      </c>
      <c r="AC19" s="76">
        <v>49800</v>
      </c>
      <c r="AD19" s="38"/>
      <c r="AE19" s="38"/>
      <c r="AF19" s="38">
        <v>87</v>
      </c>
      <c r="AG19" s="38"/>
      <c r="AH19" s="38">
        <f t="shared" si="3"/>
        <v>87</v>
      </c>
      <c r="AI19" s="38"/>
      <c r="AJ19" s="38"/>
      <c r="AK19" s="38" t="s">
        <v>42</v>
      </c>
      <c r="AL19" s="38">
        <v>1450</v>
      </c>
      <c r="AM19" s="41">
        <v>1</v>
      </c>
    </row>
    <row r="20" spans="2:39" x14ac:dyDescent="0.2">
      <c r="B20" s="37">
        <v>18</v>
      </c>
      <c r="C20" s="38">
        <v>17</v>
      </c>
      <c r="D20" s="38" t="s">
        <v>71</v>
      </c>
      <c r="E20" s="39" t="str">
        <f t="shared" si="0"/>
        <v>17 - Charente-Maritime</v>
      </c>
      <c r="F20" s="37">
        <v>18</v>
      </c>
      <c r="G20" s="38" t="s">
        <v>47</v>
      </c>
      <c r="H20" s="38" t="s">
        <v>41</v>
      </c>
      <c r="I20" s="38">
        <v>2</v>
      </c>
      <c r="J20" s="38">
        <f t="shared" si="1"/>
        <v>2</v>
      </c>
      <c r="K20" s="38">
        <f t="shared" si="2"/>
        <v>-2</v>
      </c>
      <c r="L20" s="38">
        <f t="shared" si="4"/>
        <v>-5</v>
      </c>
      <c r="M20" s="38">
        <v>-2</v>
      </c>
      <c r="N20" s="42">
        <v>-4</v>
      </c>
      <c r="O20" s="38">
        <v>-5</v>
      </c>
      <c r="P20" s="38" t="s">
        <v>2</v>
      </c>
      <c r="Q20" s="38" t="s">
        <v>2</v>
      </c>
      <c r="R20" s="38" t="s">
        <v>2</v>
      </c>
      <c r="S20" s="38" t="s">
        <v>2</v>
      </c>
      <c r="T20" s="38" t="s">
        <v>2</v>
      </c>
      <c r="U20" s="38" t="s">
        <v>2</v>
      </c>
      <c r="V20" s="38" t="s">
        <v>2</v>
      </c>
      <c r="W20" s="38" t="s">
        <v>2</v>
      </c>
      <c r="X20" s="38" t="s">
        <v>2</v>
      </c>
      <c r="Y20" s="38" t="s">
        <v>2</v>
      </c>
      <c r="Z20" s="38" t="s">
        <v>2</v>
      </c>
      <c r="AA20" s="38" t="s">
        <v>2</v>
      </c>
      <c r="AB20" s="40">
        <v>5000</v>
      </c>
      <c r="AC20" s="76">
        <v>44300</v>
      </c>
      <c r="AD20" s="38"/>
      <c r="AE20" s="38"/>
      <c r="AF20" s="38">
        <v>88</v>
      </c>
      <c r="AG20" s="38"/>
      <c r="AH20" s="38">
        <f t="shared" si="3"/>
        <v>88</v>
      </c>
      <c r="AI20" s="38"/>
      <c r="AJ20" s="38">
        <v>5</v>
      </c>
      <c r="AK20" s="38" t="s">
        <v>53</v>
      </c>
      <c r="AL20" s="38">
        <v>1800</v>
      </c>
      <c r="AM20" s="41">
        <v>1.1000000000000001</v>
      </c>
    </row>
    <row r="21" spans="2:39" x14ac:dyDescent="0.2">
      <c r="B21" s="37">
        <v>19</v>
      </c>
      <c r="C21" s="38">
        <v>18</v>
      </c>
      <c r="D21" s="38" t="s">
        <v>72</v>
      </c>
      <c r="E21" s="39" t="str">
        <f t="shared" si="0"/>
        <v>18 - Cher</v>
      </c>
      <c r="F21" s="37">
        <v>19</v>
      </c>
      <c r="G21" s="38" t="s">
        <v>47</v>
      </c>
      <c r="H21" s="38" t="s">
        <v>60</v>
      </c>
      <c r="I21" s="38">
        <v>0</v>
      </c>
      <c r="J21" s="38">
        <f t="shared" si="1"/>
        <v>4</v>
      </c>
      <c r="K21" s="38">
        <f t="shared" si="2"/>
        <v>-7</v>
      </c>
      <c r="L21" s="38">
        <f t="shared" si="4"/>
        <v>-9</v>
      </c>
      <c r="M21" s="38" t="s">
        <v>2</v>
      </c>
      <c r="N21" s="42" t="s">
        <v>2</v>
      </c>
      <c r="O21" s="38">
        <v>-7</v>
      </c>
      <c r="P21" s="38">
        <v>-8</v>
      </c>
      <c r="Q21" s="38">
        <v>-9</v>
      </c>
      <c r="R21" s="38" t="s">
        <v>2</v>
      </c>
      <c r="S21" s="38" t="s">
        <v>2</v>
      </c>
      <c r="T21" s="38" t="s">
        <v>2</v>
      </c>
      <c r="U21" s="38" t="s">
        <v>2</v>
      </c>
      <c r="V21" s="38" t="s">
        <v>2</v>
      </c>
      <c r="W21" s="38" t="s">
        <v>2</v>
      </c>
      <c r="X21" s="38" t="s">
        <v>2</v>
      </c>
      <c r="Y21" s="38" t="s">
        <v>2</v>
      </c>
      <c r="Z21" s="38" t="s">
        <v>2</v>
      </c>
      <c r="AA21" s="38" t="s">
        <v>2</v>
      </c>
      <c r="AB21" s="40">
        <v>5300</v>
      </c>
      <c r="AC21" s="76">
        <v>58000</v>
      </c>
      <c r="AD21" s="38"/>
      <c r="AE21" s="38"/>
      <c r="AF21" s="38">
        <v>79</v>
      </c>
      <c r="AG21" s="38"/>
      <c r="AH21" s="38">
        <f t="shared" si="3"/>
        <v>79</v>
      </c>
      <c r="AI21" s="38"/>
      <c r="AJ21" s="38"/>
      <c r="AK21" s="38" t="s">
        <v>42</v>
      </c>
      <c r="AL21" s="38">
        <v>1450</v>
      </c>
      <c r="AM21" s="41">
        <v>1</v>
      </c>
    </row>
    <row r="22" spans="2:39" x14ac:dyDescent="0.2">
      <c r="B22" s="37">
        <v>20</v>
      </c>
      <c r="C22" s="38">
        <v>19</v>
      </c>
      <c r="D22" s="38" t="s">
        <v>73</v>
      </c>
      <c r="E22" s="39" t="str">
        <f t="shared" si="0"/>
        <v>19 - Corrèze</v>
      </c>
      <c r="F22" s="37">
        <v>20</v>
      </c>
      <c r="G22" s="38" t="s">
        <v>40</v>
      </c>
      <c r="H22" s="38" t="s">
        <v>41</v>
      </c>
      <c r="I22" s="38">
        <v>0</v>
      </c>
      <c r="J22" s="38">
        <f t="shared" si="1"/>
        <v>13</v>
      </c>
      <c r="K22" s="38">
        <f t="shared" si="2"/>
        <v>-8</v>
      </c>
      <c r="L22" s="38">
        <f t="shared" si="4"/>
        <v>-19</v>
      </c>
      <c r="M22" s="38" t="s">
        <v>2</v>
      </c>
      <c r="N22" s="42" t="s">
        <v>2</v>
      </c>
      <c r="O22" s="38">
        <v>-8</v>
      </c>
      <c r="P22" s="38">
        <v>-9</v>
      </c>
      <c r="Q22" s="38">
        <v>-10</v>
      </c>
      <c r="R22" s="38">
        <v>-11</v>
      </c>
      <c r="S22" s="38">
        <v>-12</v>
      </c>
      <c r="T22" s="38">
        <v>-13</v>
      </c>
      <c r="U22" s="38">
        <v>-14</v>
      </c>
      <c r="V22" s="38">
        <v>-15</v>
      </c>
      <c r="W22" s="38">
        <v>-16</v>
      </c>
      <c r="X22" s="38">
        <v>-17</v>
      </c>
      <c r="Y22" s="38">
        <v>-18</v>
      </c>
      <c r="Z22" s="38">
        <v>-19</v>
      </c>
      <c r="AA22" s="38" t="s">
        <v>2</v>
      </c>
      <c r="AB22" s="40">
        <v>5000</v>
      </c>
      <c r="AC22" s="76">
        <v>54000</v>
      </c>
      <c r="AD22" s="38"/>
      <c r="AE22" s="38"/>
      <c r="AF22" s="38">
        <v>85</v>
      </c>
      <c r="AG22" s="38"/>
      <c r="AH22" s="38">
        <f t="shared" si="3"/>
        <v>85</v>
      </c>
      <c r="AI22" s="38">
        <v>1.5</v>
      </c>
      <c r="AJ22" s="38"/>
      <c r="AK22" s="38" t="s">
        <v>42</v>
      </c>
      <c r="AL22" s="38">
        <v>1450</v>
      </c>
      <c r="AM22" s="41">
        <v>1.2</v>
      </c>
    </row>
    <row r="23" spans="2:39" x14ac:dyDescent="0.2">
      <c r="B23" s="37">
        <v>21</v>
      </c>
      <c r="C23" s="38" t="s">
        <v>74</v>
      </c>
      <c r="D23" s="38" t="s">
        <v>75</v>
      </c>
      <c r="E23" s="39" t="str">
        <f t="shared" si="0"/>
        <v>2A - Corse-du-Sud</v>
      </c>
      <c r="F23" s="37">
        <v>21</v>
      </c>
      <c r="G23" s="42" t="s">
        <v>55</v>
      </c>
      <c r="H23" s="42" t="s">
        <v>48</v>
      </c>
      <c r="I23" s="38">
        <v>1</v>
      </c>
      <c r="J23" s="38">
        <f t="shared" si="1"/>
        <v>7</v>
      </c>
      <c r="K23" s="38">
        <f t="shared" si="2"/>
        <v>-2</v>
      </c>
      <c r="L23" s="38">
        <f t="shared" si="4"/>
        <v>-6</v>
      </c>
      <c r="M23" s="38" t="s">
        <v>2</v>
      </c>
      <c r="N23" s="42">
        <v>-2</v>
      </c>
      <c r="O23" s="38">
        <v>-2</v>
      </c>
      <c r="P23" s="38">
        <v>-3</v>
      </c>
      <c r="Q23" s="38">
        <v>-4</v>
      </c>
      <c r="R23" s="38">
        <v>-4</v>
      </c>
      <c r="S23" s="38">
        <v>-5</v>
      </c>
      <c r="T23" s="38">
        <v>-6</v>
      </c>
      <c r="U23" s="42">
        <v>-6</v>
      </c>
      <c r="V23" s="42">
        <v>-6</v>
      </c>
      <c r="W23" s="42">
        <v>-6</v>
      </c>
      <c r="X23" s="42">
        <v>-6</v>
      </c>
      <c r="Y23" s="42">
        <v>-6</v>
      </c>
      <c r="Z23" s="42">
        <v>-6</v>
      </c>
      <c r="AA23" s="42">
        <v>-6</v>
      </c>
      <c r="AB23" s="44">
        <v>4200</v>
      </c>
      <c r="AC23" s="77">
        <v>34000</v>
      </c>
      <c r="AD23" s="42"/>
      <c r="AE23" s="42"/>
      <c r="AF23" s="42">
        <v>126</v>
      </c>
      <c r="AG23" s="42"/>
      <c r="AH23" s="38">
        <f t="shared" si="3"/>
        <v>126</v>
      </c>
      <c r="AI23" s="42">
        <v>1.8</v>
      </c>
      <c r="AJ23" s="42">
        <v>5</v>
      </c>
      <c r="AK23" s="42" t="s">
        <v>49</v>
      </c>
      <c r="AL23" s="38">
        <v>2200</v>
      </c>
      <c r="AM23" s="41">
        <v>1.1000000000000001</v>
      </c>
    </row>
    <row r="24" spans="2:39" x14ac:dyDescent="0.2">
      <c r="B24" s="37">
        <v>22</v>
      </c>
      <c r="C24" s="38" t="s">
        <v>76</v>
      </c>
      <c r="D24" s="38" t="s">
        <v>77</v>
      </c>
      <c r="E24" s="39" t="str">
        <f t="shared" si="0"/>
        <v>2B - Haute-Corse</v>
      </c>
      <c r="F24" s="37">
        <v>22</v>
      </c>
      <c r="G24" s="42" t="s">
        <v>55</v>
      </c>
      <c r="H24" s="42" t="s">
        <v>48</v>
      </c>
      <c r="I24" s="38">
        <v>1</v>
      </c>
      <c r="J24" s="38">
        <f t="shared" si="1"/>
        <v>7</v>
      </c>
      <c r="K24" s="38">
        <f t="shared" si="2"/>
        <v>-2</v>
      </c>
      <c r="L24" s="38">
        <f t="shared" si="4"/>
        <v>-6</v>
      </c>
      <c r="M24" s="38" t="s">
        <v>2</v>
      </c>
      <c r="N24" s="42">
        <v>-2</v>
      </c>
      <c r="O24" s="38">
        <v>-2</v>
      </c>
      <c r="P24" s="38">
        <v>-3</v>
      </c>
      <c r="Q24" s="38">
        <v>-4</v>
      </c>
      <c r="R24" s="38">
        <v>-4</v>
      </c>
      <c r="S24" s="38">
        <v>-5</v>
      </c>
      <c r="T24" s="38">
        <v>-6</v>
      </c>
      <c r="U24" s="42">
        <v>-6</v>
      </c>
      <c r="V24" s="42">
        <v>-6</v>
      </c>
      <c r="W24" s="42">
        <v>-6</v>
      </c>
      <c r="X24" s="42">
        <v>-6</v>
      </c>
      <c r="Y24" s="42">
        <v>-6</v>
      </c>
      <c r="Z24" s="42">
        <v>-6</v>
      </c>
      <c r="AA24" s="42">
        <v>-6</v>
      </c>
      <c r="AB24" s="44">
        <v>4000</v>
      </c>
      <c r="AC24" s="77">
        <v>32000</v>
      </c>
      <c r="AD24" s="42"/>
      <c r="AE24" s="42"/>
      <c r="AF24" s="42">
        <v>126</v>
      </c>
      <c r="AG24" s="42"/>
      <c r="AH24" s="38">
        <f t="shared" si="3"/>
        <v>126</v>
      </c>
      <c r="AI24" s="42">
        <v>1.8</v>
      </c>
      <c r="AJ24" s="42">
        <v>5</v>
      </c>
      <c r="AK24" s="42" t="s">
        <v>49</v>
      </c>
      <c r="AL24" s="38">
        <v>2200</v>
      </c>
      <c r="AM24" s="41">
        <v>1.1000000000000001</v>
      </c>
    </row>
    <row r="25" spans="2:39" x14ac:dyDescent="0.2">
      <c r="B25" s="37">
        <v>23</v>
      </c>
      <c r="C25" s="38">
        <v>21</v>
      </c>
      <c r="D25" s="38" t="s">
        <v>78</v>
      </c>
      <c r="E25" s="39" t="str">
        <f t="shared" si="0"/>
        <v>21 - Côte-d'Or</v>
      </c>
      <c r="F25" s="37">
        <v>23</v>
      </c>
      <c r="G25" s="38" t="s">
        <v>40</v>
      </c>
      <c r="H25" s="38" t="s">
        <v>41</v>
      </c>
      <c r="I25" s="38">
        <v>2</v>
      </c>
      <c r="J25" s="38">
        <f t="shared" si="1"/>
        <v>6</v>
      </c>
      <c r="K25" s="38">
        <f t="shared" si="2"/>
        <v>-10</v>
      </c>
      <c r="L25" s="38">
        <f t="shared" si="4"/>
        <v>-14</v>
      </c>
      <c r="M25" s="38" t="s">
        <v>2</v>
      </c>
      <c r="N25" s="42" t="s">
        <v>2</v>
      </c>
      <c r="O25" s="38">
        <v>-10</v>
      </c>
      <c r="P25" s="38">
        <v>-11</v>
      </c>
      <c r="Q25" s="38">
        <v>-12</v>
      </c>
      <c r="R25" s="38">
        <v>-13</v>
      </c>
      <c r="S25" s="38">
        <v>-14</v>
      </c>
      <c r="T25" s="38" t="s">
        <v>2</v>
      </c>
      <c r="U25" s="38" t="s">
        <v>2</v>
      </c>
      <c r="V25" s="38" t="s">
        <v>2</v>
      </c>
      <c r="W25" s="38" t="s">
        <v>2</v>
      </c>
      <c r="X25" s="38" t="s">
        <v>2</v>
      </c>
      <c r="Y25" s="38" t="s">
        <v>2</v>
      </c>
      <c r="Z25" s="38" t="s">
        <v>2</v>
      </c>
      <c r="AA25" s="38" t="s">
        <v>2</v>
      </c>
      <c r="AB25" s="40">
        <v>4900</v>
      </c>
      <c r="AC25" s="76">
        <v>63000</v>
      </c>
      <c r="AD25" s="38"/>
      <c r="AE25" s="38"/>
      <c r="AF25" s="38">
        <v>73</v>
      </c>
      <c r="AG25" s="38"/>
      <c r="AH25" s="38">
        <f t="shared" si="3"/>
        <v>73</v>
      </c>
      <c r="AI25" s="38">
        <v>1.5</v>
      </c>
      <c r="AJ25" s="38"/>
      <c r="AK25" s="38" t="s">
        <v>42</v>
      </c>
      <c r="AL25" s="38">
        <v>1450</v>
      </c>
      <c r="AM25" s="41">
        <v>1</v>
      </c>
    </row>
    <row r="26" spans="2:39" x14ac:dyDescent="0.2">
      <c r="B26" s="37">
        <v>24</v>
      </c>
      <c r="C26" s="38">
        <v>22</v>
      </c>
      <c r="D26" s="38" t="s">
        <v>79</v>
      </c>
      <c r="E26" s="39" t="str">
        <f t="shared" si="0"/>
        <v>22 - Côtes-d'Armor</v>
      </c>
      <c r="F26" s="37">
        <v>24</v>
      </c>
      <c r="G26" s="38" t="s">
        <v>47</v>
      </c>
      <c r="H26" s="38" t="s">
        <v>44</v>
      </c>
      <c r="I26" s="38">
        <v>0</v>
      </c>
      <c r="J26" s="38">
        <f t="shared" si="1"/>
        <v>3</v>
      </c>
      <c r="K26" s="38">
        <f t="shared" si="2"/>
        <v>-2</v>
      </c>
      <c r="L26" s="38">
        <f t="shared" si="4"/>
        <v>-5</v>
      </c>
      <c r="M26" s="38">
        <v>-2</v>
      </c>
      <c r="N26" s="42">
        <v>-4</v>
      </c>
      <c r="O26" s="38">
        <v>-4</v>
      </c>
      <c r="P26" s="38">
        <v>-5</v>
      </c>
      <c r="Q26" s="38" t="s">
        <v>2</v>
      </c>
      <c r="R26" s="38" t="s">
        <v>2</v>
      </c>
      <c r="S26" s="38" t="s">
        <v>2</v>
      </c>
      <c r="T26" s="38" t="s">
        <v>2</v>
      </c>
      <c r="U26" s="38" t="s">
        <v>2</v>
      </c>
      <c r="V26" s="38" t="s">
        <v>2</v>
      </c>
      <c r="W26" s="38" t="s">
        <v>2</v>
      </c>
      <c r="X26" s="38" t="s">
        <v>2</v>
      </c>
      <c r="Y26" s="38" t="s">
        <v>2</v>
      </c>
      <c r="Z26" s="38" t="s">
        <v>2</v>
      </c>
      <c r="AA26" s="38" t="s">
        <v>2</v>
      </c>
      <c r="AB26" s="40">
        <v>5400</v>
      </c>
      <c r="AC26" s="76">
        <v>48600</v>
      </c>
      <c r="AD26" s="38"/>
      <c r="AE26" s="38"/>
      <c r="AF26" s="38">
        <v>79</v>
      </c>
      <c r="AG26" s="38"/>
      <c r="AH26" s="38">
        <f t="shared" si="3"/>
        <v>79</v>
      </c>
      <c r="AI26" s="38"/>
      <c r="AJ26" s="38">
        <v>5</v>
      </c>
      <c r="AK26" s="38" t="s">
        <v>38</v>
      </c>
      <c r="AL26" s="38">
        <v>1250</v>
      </c>
      <c r="AM26" s="41">
        <v>1</v>
      </c>
    </row>
    <row r="27" spans="2:39" x14ac:dyDescent="0.2">
      <c r="B27" s="37">
        <v>25</v>
      </c>
      <c r="C27" s="38">
        <v>23</v>
      </c>
      <c r="D27" s="38" t="s">
        <v>80</v>
      </c>
      <c r="E27" s="39" t="str">
        <f t="shared" si="0"/>
        <v>23 - Creuse</v>
      </c>
      <c r="F27" s="37">
        <v>25</v>
      </c>
      <c r="G27" s="38" t="s">
        <v>40</v>
      </c>
      <c r="H27" s="38" t="s">
        <v>41</v>
      </c>
      <c r="I27" s="38">
        <v>2</v>
      </c>
      <c r="J27" s="38">
        <f t="shared" si="1"/>
        <v>13</v>
      </c>
      <c r="K27" s="38">
        <f t="shared" si="2"/>
        <v>-8</v>
      </c>
      <c r="L27" s="38">
        <f t="shared" si="4"/>
        <v>-19</v>
      </c>
      <c r="M27" s="38" t="s">
        <v>2</v>
      </c>
      <c r="N27" s="42" t="s">
        <v>2</v>
      </c>
      <c r="O27" s="38">
        <v>-8</v>
      </c>
      <c r="P27" s="38">
        <v>-9</v>
      </c>
      <c r="Q27" s="38">
        <v>-10</v>
      </c>
      <c r="R27" s="38">
        <v>-11</v>
      </c>
      <c r="S27" s="38">
        <v>-12</v>
      </c>
      <c r="T27" s="38">
        <v>-13</v>
      </c>
      <c r="U27" s="38">
        <v>-14</v>
      </c>
      <c r="V27" s="38">
        <v>-15</v>
      </c>
      <c r="W27" s="38">
        <v>-16</v>
      </c>
      <c r="X27" s="38">
        <v>-17</v>
      </c>
      <c r="Y27" s="38">
        <v>-18</v>
      </c>
      <c r="Z27" s="38">
        <v>-19</v>
      </c>
      <c r="AA27" s="38" t="s">
        <v>2</v>
      </c>
      <c r="AB27" s="40">
        <v>5200</v>
      </c>
      <c r="AC27" s="76">
        <v>65000</v>
      </c>
      <c r="AD27" s="38"/>
      <c r="AE27" s="38"/>
      <c r="AF27" s="38">
        <v>84</v>
      </c>
      <c r="AG27" s="38"/>
      <c r="AH27" s="38">
        <f t="shared" si="3"/>
        <v>84</v>
      </c>
      <c r="AI27" s="38">
        <v>1.5</v>
      </c>
      <c r="AJ27" s="38"/>
      <c r="AK27" s="38" t="s">
        <v>42</v>
      </c>
      <c r="AL27" s="38">
        <v>1450</v>
      </c>
      <c r="AM27" s="41">
        <v>1.1000000000000001</v>
      </c>
    </row>
    <row r="28" spans="2:39" x14ac:dyDescent="0.2">
      <c r="B28" s="37">
        <v>26</v>
      </c>
      <c r="C28" s="38">
        <v>24</v>
      </c>
      <c r="D28" s="38" t="s">
        <v>81</v>
      </c>
      <c r="E28" s="39" t="str">
        <f t="shared" si="0"/>
        <v>24 - Dordogne</v>
      </c>
      <c r="F28" s="37">
        <v>26</v>
      </c>
      <c r="G28" s="38" t="s">
        <v>47</v>
      </c>
      <c r="H28" s="38" t="s">
        <v>41</v>
      </c>
      <c r="I28" s="38">
        <v>2</v>
      </c>
      <c r="J28" s="38">
        <f t="shared" si="1"/>
        <v>4</v>
      </c>
      <c r="K28" s="38">
        <f t="shared" si="2"/>
        <v>-5</v>
      </c>
      <c r="L28" s="38">
        <f t="shared" si="4"/>
        <v>-7</v>
      </c>
      <c r="M28" s="38" t="s">
        <v>2</v>
      </c>
      <c r="N28" s="42" t="s">
        <v>2</v>
      </c>
      <c r="O28" s="38">
        <v>-5</v>
      </c>
      <c r="P28" s="38">
        <v>-6</v>
      </c>
      <c r="Q28" s="38">
        <v>-7</v>
      </c>
      <c r="R28" s="38" t="s">
        <v>2</v>
      </c>
      <c r="S28" s="38" t="s">
        <v>2</v>
      </c>
      <c r="T28" s="38" t="s">
        <v>2</v>
      </c>
      <c r="U28" s="38" t="s">
        <v>2</v>
      </c>
      <c r="V28" s="38" t="s">
        <v>2</v>
      </c>
      <c r="W28" s="38" t="s">
        <v>2</v>
      </c>
      <c r="X28" s="38" t="s">
        <v>2</v>
      </c>
      <c r="Y28" s="38" t="s">
        <v>2</v>
      </c>
      <c r="Z28" s="38" t="s">
        <v>2</v>
      </c>
      <c r="AA28" s="38" t="s">
        <v>2</v>
      </c>
      <c r="AB28" s="40">
        <v>5000</v>
      </c>
      <c r="AC28" s="76">
        <v>49900</v>
      </c>
      <c r="AD28" s="38"/>
      <c r="AE28" s="38"/>
      <c r="AF28" s="38">
        <v>87</v>
      </c>
      <c r="AG28" s="38"/>
      <c r="AH28" s="38">
        <f t="shared" si="3"/>
        <v>87</v>
      </c>
      <c r="AI28" s="38"/>
      <c r="AJ28" s="38"/>
      <c r="AK28" s="38" t="s">
        <v>42</v>
      </c>
      <c r="AL28" s="38">
        <v>1450</v>
      </c>
      <c r="AM28" s="41">
        <v>1</v>
      </c>
    </row>
    <row r="29" spans="2:39" x14ac:dyDescent="0.2">
      <c r="B29" s="37">
        <v>27</v>
      </c>
      <c r="C29" s="38">
        <v>25</v>
      </c>
      <c r="D29" s="38" t="s">
        <v>82</v>
      </c>
      <c r="E29" s="39" t="str">
        <f t="shared" si="0"/>
        <v>25 - Doubs</v>
      </c>
      <c r="F29" s="37">
        <v>27</v>
      </c>
      <c r="G29" s="38" t="s">
        <v>40</v>
      </c>
      <c r="H29" s="38" t="s">
        <v>41</v>
      </c>
      <c r="I29" s="38">
        <v>2</v>
      </c>
      <c r="J29" s="38">
        <f t="shared" si="1"/>
        <v>10</v>
      </c>
      <c r="K29" s="38">
        <f t="shared" si="2"/>
        <v>-12</v>
      </c>
      <c r="L29" s="38">
        <f t="shared" si="4"/>
        <v>-20</v>
      </c>
      <c r="M29" s="38" t="s">
        <v>2</v>
      </c>
      <c r="N29" s="42" t="s">
        <v>2</v>
      </c>
      <c r="O29" s="38">
        <v>-12</v>
      </c>
      <c r="P29" s="38">
        <v>-13</v>
      </c>
      <c r="Q29" s="38">
        <v>-14</v>
      </c>
      <c r="R29" s="38">
        <v>-15</v>
      </c>
      <c r="S29" s="38">
        <v>-16</v>
      </c>
      <c r="T29" s="38">
        <v>-17</v>
      </c>
      <c r="U29" s="38">
        <v>-18</v>
      </c>
      <c r="V29" s="38">
        <v>-19</v>
      </c>
      <c r="W29" s="38">
        <v>-20</v>
      </c>
      <c r="X29" s="38" t="s">
        <v>2</v>
      </c>
      <c r="Y29" s="38" t="s">
        <v>2</v>
      </c>
      <c r="Z29" s="38" t="s">
        <v>2</v>
      </c>
      <c r="AA29" s="38" t="s">
        <v>2</v>
      </c>
      <c r="AB29" s="40">
        <v>5000</v>
      </c>
      <c r="AC29" s="76">
        <v>65300</v>
      </c>
      <c r="AD29" s="38"/>
      <c r="AE29" s="38"/>
      <c r="AF29" s="38">
        <v>71</v>
      </c>
      <c r="AG29" s="38"/>
      <c r="AH29" s="38">
        <f t="shared" si="3"/>
        <v>71</v>
      </c>
      <c r="AI29" s="38">
        <v>1.5</v>
      </c>
      <c r="AJ29" s="38"/>
      <c r="AK29" s="38" t="s">
        <v>42</v>
      </c>
      <c r="AL29" s="38">
        <v>1450</v>
      </c>
      <c r="AM29" s="41">
        <v>1</v>
      </c>
    </row>
    <row r="30" spans="2:39" x14ac:dyDescent="0.2">
      <c r="B30" s="37">
        <v>28</v>
      </c>
      <c r="C30" s="38">
        <v>26</v>
      </c>
      <c r="D30" s="38" t="s">
        <v>83</v>
      </c>
      <c r="E30" s="39" t="str">
        <f t="shared" si="0"/>
        <v>26 - Drôme</v>
      </c>
      <c r="F30" s="37">
        <v>28</v>
      </c>
      <c r="G30" s="38" t="s">
        <v>47</v>
      </c>
      <c r="H30" s="38" t="s">
        <v>48</v>
      </c>
      <c r="I30" s="38">
        <v>2</v>
      </c>
      <c r="J30" s="38">
        <f t="shared" si="1"/>
        <v>10</v>
      </c>
      <c r="K30" s="38">
        <f t="shared" si="2"/>
        <v>-6</v>
      </c>
      <c r="L30" s="38">
        <f t="shared" si="4"/>
        <v>-14</v>
      </c>
      <c r="M30" s="38" t="s">
        <v>2</v>
      </c>
      <c r="N30" s="42" t="s">
        <v>2</v>
      </c>
      <c r="O30" s="38">
        <v>-6</v>
      </c>
      <c r="P30" s="38">
        <v>-7</v>
      </c>
      <c r="Q30" s="38">
        <v>-8</v>
      </c>
      <c r="R30" s="38">
        <v>-9</v>
      </c>
      <c r="S30" s="38">
        <v>-10</v>
      </c>
      <c r="T30" s="38">
        <v>-11</v>
      </c>
      <c r="U30" s="38">
        <v>-12</v>
      </c>
      <c r="V30" s="38">
        <v>-13</v>
      </c>
      <c r="W30" s="38">
        <v>-14</v>
      </c>
      <c r="X30" s="38" t="s">
        <v>2</v>
      </c>
      <c r="Y30" s="38" t="s">
        <v>2</v>
      </c>
      <c r="Z30" s="38" t="s">
        <v>2</v>
      </c>
      <c r="AA30" s="38" t="s">
        <v>2</v>
      </c>
      <c r="AB30" s="40">
        <v>4800</v>
      </c>
      <c r="AC30" s="76">
        <v>50900</v>
      </c>
      <c r="AD30" s="38" t="s">
        <v>57</v>
      </c>
      <c r="AE30" s="38" t="s">
        <v>58</v>
      </c>
      <c r="AF30" s="38">
        <v>100</v>
      </c>
      <c r="AG30" s="38">
        <v>120</v>
      </c>
      <c r="AH30" s="38">
        <f t="shared" si="3"/>
        <v>110</v>
      </c>
      <c r="AI30" s="38">
        <v>1.5</v>
      </c>
      <c r="AJ30" s="38"/>
      <c r="AK30" s="38" t="s">
        <v>53</v>
      </c>
      <c r="AL30" s="38">
        <v>1800</v>
      </c>
      <c r="AM30" s="41">
        <v>1</v>
      </c>
    </row>
    <row r="31" spans="2:39" x14ac:dyDescent="0.2">
      <c r="B31" s="37">
        <v>29</v>
      </c>
      <c r="C31" s="38">
        <v>27</v>
      </c>
      <c r="D31" s="38" t="s">
        <v>84</v>
      </c>
      <c r="E31" s="39" t="str">
        <f t="shared" si="0"/>
        <v>27 - Eure</v>
      </c>
      <c r="F31" s="37">
        <v>29</v>
      </c>
      <c r="G31" s="38" t="s">
        <v>40</v>
      </c>
      <c r="H31" s="38" t="s">
        <v>44</v>
      </c>
      <c r="I31" s="38">
        <v>2</v>
      </c>
      <c r="J31" s="38">
        <f t="shared" si="1"/>
        <v>3</v>
      </c>
      <c r="K31" s="38">
        <f t="shared" si="2"/>
        <v>-7</v>
      </c>
      <c r="L31" s="38">
        <f t="shared" si="4"/>
        <v>-8</v>
      </c>
      <c r="M31" s="38" t="s">
        <v>2</v>
      </c>
      <c r="N31" s="42" t="s">
        <v>2</v>
      </c>
      <c r="O31" s="38">
        <v>-7</v>
      </c>
      <c r="P31" s="38">
        <v>-8</v>
      </c>
      <c r="Q31" s="38" t="s">
        <v>2</v>
      </c>
      <c r="R31" s="38" t="s">
        <v>2</v>
      </c>
      <c r="S31" s="38" t="s">
        <v>2</v>
      </c>
      <c r="T31" s="38" t="s">
        <v>2</v>
      </c>
      <c r="U31" s="38" t="s">
        <v>2</v>
      </c>
      <c r="V31" s="38" t="s">
        <v>2</v>
      </c>
      <c r="W31" s="38" t="s">
        <v>2</v>
      </c>
      <c r="X31" s="38" t="s">
        <v>2</v>
      </c>
      <c r="Y31" s="38" t="s">
        <v>2</v>
      </c>
      <c r="Z31" s="38" t="s">
        <v>2</v>
      </c>
      <c r="AA31" s="38" t="s">
        <v>2</v>
      </c>
      <c r="AB31" s="40">
        <v>5500</v>
      </c>
      <c r="AC31" s="76">
        <v>60000</v>
      </c>
      <c r="AD31" s="38"/>
      <c r="AE31" s="38"/>
      <c r="AF31" s="38">
        <v>78</v>
      </c>
      <c r="AG31" s="38"/>
      <c r="AH31" s="38">
        <f t="shared" si="3"/>
        <v>78</v>
      </c>
      <c r="AI31" s="38"/>
      <c r="AJ31" s="38">
        <v>5</v>
      </c>
      <c r="AK31" s="38" t="s">
        <v>38</v>
      </c>
      <c r="AL31" s="38">
        <v>1250</v>
      </c>
      <c r="AM31" s="41">
        <v>1</v>
      </c>
    </row>
    <row r="32" spans="2:39" x14ac:dyDescent="0.2">
      <c r="B32" s="37">
        <v>30</v>
      </c>
      <c r="C32" s="38">
        <v>28</v>
      </c>
      <c r="D32" s="38" t="s">
        <v>85</v>
      </c>
      <c r="E32" s="39" t="str">
        <f t="shared" si="0"/>
        <v>28 - Eure-et-Loire</v>
      </c>
      <c r="F32" s="37">
        <v>30</v>
      </c>
      <c r="G32" s="38" t="s">
        <v>40</v>
      </c>
      <c r="H32" s="38" t="s">
        <v>60</v>
      </c>
      <c r="I32" s="38">
        <v>2</v>
      </c>
      <c r="J32" s="38">
        <f t="shared" si="1"/>
        <v>3</v>
      </c>
      <c r="K32" s="38">
        <f t="shared" si="2"/>
        <v>-7</v>
      </c>
      <c r="L32" s="38">
        <f t="shared" si="4"/>
        <v>-8</v>
      </c>
      <c r="M32" s="38" t="s">
        <v>2</v>
      </c>
      <c r="N32" s="42" t="s">
        <v>2</v>
      </c>
      <c r="O32" s="38">
        <v>-7</v>
      </c>
      <c r="P32" s="38">
        <v>-8</v>
      </c>
      <c r="Q32" s="38" t="s">
        <v>2</v>
      </c>
      <c r="R32" s="38" t="s">
        <v>2</v>
      </c>
      <c r="S32" s="38" t="s">
        <v>2</v>
      </c>
      <c r="T32" s="38" t="s">
        <v>2</v>
      </c>
      <c r="U32" s="38" t="s">
        <v>2</v>
      </c>
      <c r="V32" s="38" t="s">
        <v>2</v>
      </c>
      <c r="W32" s="38" t="s">
        <v>2</v>
      </c>
      <c r="X32" s="38" t="s">
        <v>2</v>
      </c>
      <c r="Y32" s="38" t="s">
        <v>2</v>
      </c>
      <c r="Z32" s="38" t="s">
        <v>2</v>
      </c>
      <c r="AA32" s="38" t="s">
        <v>2</v>
      </c>
      <c r="AB32" s="40">
        <v>5600</v>
      </c>
      <c r="AC32" s="76">
        <v>60504</v>
      </c>
      <c r="AD32" s="38"/>
      <c r="AE32" s="38"/>
      <c r="AF32" s="38">
        <v>78</v>
      </c>
      <c r="AG32" s="38"/>
      <c r="AH32" s="38">
        <f t="shared" si="3"/>
        <v>78</v>
      </c>
      <c r="AI32" s="38"/>
      <c r="AJ32" s="38"/>
      <c r="AK32" s="38" t="s">
        <v>42</v>
      </c>
      <c r="AL32" s="38">
        <v>1450</v>
      </c>
      <c r="AM32" s="41">
        <v>1</v>
      </c>
    </row>
    <row r="33" spans="2:39" x14ac:dyDescent="0.2">
      <c r="B33" s="37">
        <v>31</v>
      </c>
      <c r="C33" s="38">
        <v>29</v>
      </c>
      <c r="D33" s="38" t="s">
        <v>86</v>
      </c>
      <c r="E33" s="39" t="str">
        <f t="shared" si="0"/>
        <v>29 - Finistère</v>
      </c>
      <c r="F33" s="37">
        <v>31</v>
      </c>
      <c r="G33" s="38" t="s">
        <v>47</v>
      </c>
      <c r="H33" s="38" t="s">
        <v>44</v>
      </c>
      <c r="I33" s="38">
        <v>0</v>
      </c>
      <c r="J33" s="38">
        <f t="shared" si="1"/>
        <v>3</v>
      </c>
      <c r="K33" s="38">
        <f t="shared" si="2"/>
        <v>-2</v>
      </c>
      <c r="L33" s="38">
        <f t="shared" si="4"/>
        <v>-5</v>
      </c>
      <c r="M33" s="38">
        <v>-2</v>
      </c>
      <c r="N33" s="42">
        <v>-4</v>
      </c>
      <c r="O33" s="38">
        <v>-4</v>
      </c>
      <c r="P33" s="38">
        <v>-5</v>
      </c>
      <c r="Q33" s="38" t="s">
        <v>2</v>
      </c>
      <c r="R33" s="38" t="s">
        <v>2</v>
      </c>
      <c r="S33" s="38" t="s">
        <v>2</v>
      </c>
      <c r="T33" s="38" t="s">
        <v>2</v>
      </c>
      <c r="U33" s="38" t="s">
        <v>2</v>
      </c>
      <c r="V33" s="38" t="s">
        <v>2</v>
      </c>
      <c r="W33" s="38" t="s">
        <v>2</v>
      </c>
      <c r="X33" s="38" t="s">
        <v>2</v>
      </c>
      <c r="Y33" s="38" t="s">
        <v>2</v>
      </c>
      <c r="Z33" s="38" t="s">
        <v>2</v>
      </c>
      <c r="AA33" s="38" t="s">
        <v>2</v>
      </c>
      <c r="AB33" s="40">
        <v>5800</v>
      </c>
      <c r="AC33" s="76">
        <v>44900</v>
      </c>
      <c r="AD33" s="38"/>
      <c r="AE33" s="38"/>
      <c r="AF33" s="38">
        <v>79</v>
      </c>
      <c r="AG33" s="38"/>
      <c r="AH33" s="38">
        <f t="shared" si="3"/>
        <v>79</v>
      </c>
      <c r="AI33" s="38"/>
      <c r="AJ33" s="38">
        <v>5</v>
      </c>
      <c r="AK33" s="38" t="s">
        <v>38</v>
      </c>
      <c r="AL33" s="38">
        <v>1250</v>
      </c>
      <c r="AM33" s="41">
        <v>1</v>
      </c>
    </row>
    <row r="34" spans="2:39" x14ac:dyDescent="0.2">
      <c r="B34" s="37">
        <v>32</v>
      </c>
      <c r="C34" s="38">
        <v>30</v>
      </c>
      <c r="D34" s="38" t="s">
        <v>87</v>
      </c>
      <c r="E34" s="39" t="str">
        <f t="shared" si="0"/>
        <v>30 - Gard</v>
      </c>
      <c r="F34" s="37">
        <v>32</v>
      </c>
      <c r="G34" s="38" t="s">
        <v>55</v>
      </c>
      <c r="H34" s="38" t="s">
        <v>48</v>
      </c>
      <c r="I34" s="38">
        <v>0</v>
      </c>
      <c r="J34" s="38">
        <f t="shared" si="1"/>
        <v>14</v>
      </c>
      <c r="K34" s="38">
        <f t="shared" si="2"/>
        <v>-3</v>
      </c>
      <c r="L34" s="38">
        <f t="shared" si="4"/>
        <v>-12</v>
      </c>
      <c r="M34" s="38">
        <v>-3</v>
      </c>
      <c r="N34" s="42">
        <v>-3</v>
      </c>
      <c r="O34" s="38">
        <v>-5</v>
      </c>
      <c r="P34" s="38">
        <v>-6</v>
      </c>
      <c r="Q34" s="38">
        <v>-7</v>
      </c>
      <c r="R34" s="38">
        <v>-7</v>
      </c>
      <c r="S34" s="38">
        <v>-8</v>
      </c>
      <c r="T34" s="38">
        <v>-8</v>
      </c>
      <c r="U34" s="38">
        <v>-9</v>
      </c>
      <c r="V34" s="38">
        <v>-9</v>
      </c>
      <c r="W34" s="38">
        <v>-10</v>
      </c>
      <c r="X34" s="38">
        <v>-10</v>
      </c>
      <c r="Y34" s="38">
        <v>-11</v>
      </c>
      <c r="Z34" s="38">
        <v>-11</v>
      </c>
      <c r="AA34" s="38">
        <v>-12</v>
      </c>
      <c r="AB34" s="40">
        <v>4000</v>
      </c>
      <c r="AC34" s="76">
        <v>42300</v>
      </c>
      <c r="AD34" s="38" t="s">
        <v>57</v>
      </c>
      <c r="AE34" s="38" t="s">
        <v>58</v>
      </c>
      <c r="AF34" s="38">
        <v>120</v>
      </c>
      <c r="AG34" s="38">
        <v>127</v>
      </c>
      <c r="AH34" s="38">
        <f t="shared" si="3"/>
        <v>123.5</v>
      </c>
      <c r="AI34" s="38">
        <v>1.8</v>
      </c>
      <c r="AJ34" s="38">
        <v>5</v>
      </c>
      <c r="AK34" s="38" t="s">
        <v>49</v>
      </c>
      <c r="AL34" s="38">
        <v>2200</v>
      </c>
      <c r="AM34" s="41">
        <v>1</v>
      </c>
    </row>
    <row r="35" spans="2:39" x14ac:dyDescent="0.2">
      <c r="B35" s="37">
        <v>33</v>
      </c>
      <c r="C35" s="38">
        <v>31</v>
      </c>
      <c r="D35" s="38" t="s">
        <v>88</v>
      </c>
      <c r="E35" s="39" t="str">
        <f t="shared" si="0"/>
        <v>31 - Haute-Garonne</v>
      </c>
      <c r="F35" s="37">
        <v>33</v>
      </c>
      <c r="G35" s="38" t="s">
        <v>47</v>
      </c>
      <c r="H35" s="38" t="s">
        <v>41</v>
      </c>
      <c r="I35" s="38">
        <v>2</v>
      </c>
      <c r="J35" s="38">
        <f t="shared" si="1"/>
        <v>14</v>
      </c>
      <c r="K35" s="38">
        <f t="shared" si="2"/>
        <v>-5</v>
      </c>
      <c r="L35" s="38">
        <f t="shared" si="4"/>
        <v>-12</v>
      </c>
      <c r="M35" s="38" t="s">
        <v>2</v>
      </c>
      <c r="N35" s="42" t="s">
        <v>2</v>
      </c>
      <c r="O35" s="38">
        <v>-5</v>
      </c>
      <c r="P35" s="38">
        <v>-6</v>
      </c>
      <c r="Q35" s="38">
        <v>-7</v>
      </c>
      <c r="R35" s="38">
        <v>-7</v>
      </c>
      <c r="S35" s="38">
        <v>-8</v>
      </c>
      <c r="T35" s="38">
        <v>-8</v>
      </c>
      <c r="U35" s="38">
        <v>-9</v>
      </c>
      <c r="V35" s="38">
        <v>-9</v>
      </c>
      <c r="W35" s="38">
        <v>-10</v>
      </c>
      <c r="X35" s="38">
        <v>-10</v>
      </c>
      <c r="Y35" s="38">
        <v>-11</v>
      </c>
      <c r="Z35" s="38">
        <v>-11</v>
      </c>
      <c r="AA35" s="38">
        <v>-12</v>
      </c>
      <c r="AB35" s="40">
        <v>4500</v>
      </c>
      <c r="AC35" s="76">
        <v>48300</v>
      </c>
      <c r="AD35" s="38"/>
      <c r="AE35" s="38"/>
      <c r="AF35" s="38">
        <v>98</v>
      </c>
      <c r="AG35" s="38"/>
      <c r="AH35" s="38">
        <f t="shared" si="3"/>
        <v>98</v>
      </c>
      <c r="AI35" s="38">
        <v>1.5</v>
      </c>
      <c r="AJ35" s="38"/>
      <c r="AK35" s="38" t="s">
        <v>53</v>
      </c>
      <c r="AL35" s="38">
        <v>1800</v>
      </c>
      <c r="AM35" s="41">
        <v>1</v>
      </c>
    </row>
    <row r="36" spans="2:39" x14ac:dyDescent="0.2">
      <c r="B36" s="37">
        <v>34</v>
      </c>
      <c r="C36" s="38">
        <v>32</v>
      </c>
      <c r="D36" s="38" t="s">
        <v>89</v>
      </c>
      <c r="E36" s="39" t="str">
        <f t="shared" si="0"/>
        <v>32 - Gers</v>
      </c>
      <c r="F36" s="37">
        <v>34</v>
      </c>
      <c r="G36" s="38" t="s">
        <v>47</v>
      </c>
      <c r="H36" s="38" t="s">
        <v>41</v>
      </c>
      <c r="I36" s="38">
        <v>2</v>
      </c>
      <c r="J36" s="38">
        <f t="shared" si="1"/>
        <v>3</v>
      </c>
      <c r="K36" s="38">
        <f t="shared" si="2"/>
        <v>-5</v>
      </c>
      <c r="L36" s="38">
        <f t="shared" si="4"/>
        <v>-6</v>
      </c>
      <c r="M36" s="38" t="s">
        <v>2</v>
      </c>
      <c r="N36" s="42" t="s">
        <v>2</v>
      </c>
      <c r="O36" s="38">
        <v>-5</v>
      </c>
      <c r="P36" s="38">
        <v>-6</v>
      </c>
      <c r="Q36" s="38" t="s">
        <v>2</v>
      </c>
      <c r="R36" s="38" t="s">
        <v>2</v>
      </c>
      <c r="S36" s="38" t="s">
        <v>2</v>
      </c>
      <c r="T36" s="38" t="s">
        <v>2</v>
      </c>
      <c r="U36" s="38" t="s">
        <v>2</v>
      </c>
      <c r="V36" s="38" t="s">
        <v>2</v>
      </c>
      <c r="W36" s="38" t="s">
        <v>2</v>
      </c>
      <c r="X36" s="38" t="s">
        <v>2</v>
      </c>
      <c r="Y36" s="38" t="s">
        <v>2</v>
      </c>
      <c r="Z36" s="38" t="s">
        <v>2</v>
      </c>
      <c r="AA36" s="38" t="s">
        <v>2</v>
      </c>
      <c r="AB36" s="40">
        <v>4800</v>
      </c>
      <c r="AC36" s="76">
        <v>48000</v>
      </c>
      <c r="AD36" s="38"/>
      <c r="AE36" s="38"/>
      <c r="AF36" s="38">
        <v>92</v>
      </c>
      <c r="AG36" s="38"/>
      <c r="AH36" s="38">
        <f t="shared" si="3"/>
        <v>92</v>
      </c>
      <c r="AI36" s="38"/>
      <c r="AJ36" s="38"/>
      <c r="AK36" s="38" t="s">
        <v>53</v>
      </c>
      <c r="AL36" s="38">
        <v>1800</v>
      </c>
      <c r="AM36" s="41">
        <v>1</v>
      </c>
    </row>
    <row r="37" spans="2:39" x14ac:dyDescent="0.2">
      <c r="B37" s="37">
        <v>35</v>
      </c>
      <c r="C37" s="38">
        <v>33</v>
      </c>
      <c r="D37" s="38" t="s">
        <v>90</v>
      </c>
      <c r="E37" s="39" t="str">
        <f t="shared" si="0"/>
        <v>33 - Gironde</v>
      </c>
      <c r="F37" s="37">
        <v>35</v>
      </c>
      <c r="G37" s="38" t="s">
        <v>47</v>
      </c>
      <c r="H37" s="38" t="s">
        <v>41</v>
      </c>
      <c r="I37" s="38">
        <v>0</v>
      </c>
      <c r="J37" s="38">
        <f t="shared" si="1"/>
        <v>2</v>
      </c>
      <c r="K37" s="38">
        <f t="shared" si="2"/>
        <v>-2</v>
      </c>
      <c r="L37" s="38">
        <f t="shared" si="4"/>
        <v>-5</v>
      </c>
      <c r="M37" s="38">
        <v>-2</v>
      </c>
      <c r="N37" s="42">
        <v>-4</v>
      </c>
      <c r="O37" s="38">
        <v>-5</v>
      </c>
      <c r="P37" s="38" t="s">
        <v>2</v>
      </c>
      <c r="Q37" s="38" t="s">
        <v>2</v>
      </c>
      <c r="R37" s="38" t="s">
        <v>2</v>
      </c>
      <c r="S37" s="38" t="s">
        <v>2</v>
      </c>
      <c r="T37" s="38" t="s">
        <v>2</v>
      </c>
      <c r="U37" s="38" t="s">
        <v>2</v>
      </c>
      <c r="V37" s="38" t="s">
        <v>2</v>
      </c>
      <c r="W37" s="38" t="s">
        <v>2</v>
      </c>
      <c r="X37" s="38" t="s">
        <v>2</v>
      </c>
      <c r="Y37" s="38" t="s">
        <v>2</v>
      </c>
      <c r="Z37" s="38" t="s">
        <v>2</v>
      </c>
      <c r="AA37" s="38" t="s">
        <v>2</v>
      </c>
      <c r="AB37" s="40">
        <v>4500</v>
      </c>
      <c r="AC37" s="76">
        <v>44400</v>
      </c>
      <c r="AD37" s="38"/>
      <c r="AE37" s="38"/>
      <c r="AF37" s="38">
        <v>91</v>
      </c>
      <c r="AG37" s="38"/>
      <c r="AH37" s="38">
        <f t="shared" si="3"/>
        <v>91</v>
      </c>
      <c r="AI37" s="38"/>
      <c r="AJ37" s="38">
        <v>5</v>
      </c>
      <c r="AK37" s="38" t="s">
        <v>53</v>
      </c>
      <c r="AL37" s="38">
        <v>1800</v>
      </c>
      <c r="AM37" s="41">
        <v>1</v>
      </c>
    </row>
    <row r="38" spans="2:39" x14ac:dyDescent="0.2">
      <c r="B38" s="37">
        <v>36</v>
      </c>
      <c r="C38" s="38">
        <v>34</v>
      </c>
      <c r="D38" s="38" t="s">
        <v>91</v>
      </c>
      <c r="E38" s="39" t="str">
        <f t="shared" si="0"/>
        <v>34 - Hérault</v>
      </c>
      <c r="F38" s="37">
        <v>36</v>
      </c>
      <c r="G38" s="38" t="s">
        <v>55</v>
      </c>
      <c r="H38" s="38" t="s">
        <v>48</v>
      </c>
      <c r="I38" s="38">
        <v>0</v>
      </c>
      <c r="J38" s="38">
        <f t="shared" si="1"/>
        <v>14</v>
      </c>
      <c r="K38" s="38">
        <f t="shared" si="2"/>
        <v>-3</v>
      </c>
      <c r="L38" s="38">
        <f t="shared" si="4"/>
        <v>-12</v>
      </c>
      <c r="M38" s="38">
        <v>-3</v>
      </c>
      <c r="N38" s="42">
        <v>-3</v>
      </c>
      <c r="O38" s="38">
        <v>-5</v>
      </c>
      <c r="P38" s="38">
        <v>-6</v>
      </c>
      <c r="Q38" s="38">
        <v>-7</v>
      </c>
      <c r="R38" s="38">
        <v>-7</v>
      </c>
      <c r="S38" s="38">
        <v>-8</v>
      </c>
      <c r="T38" s="38">
        <v>-8</v>
      </c>
      <c r="U38" s="38">
        <v>-9</v>
      </c>
      <c r="V38" s="38">
        <v>-9</v>
      </c>
      <c r="W38" s="38">
        <v>-10</v>
      </c>
      <c r="X38" s="38">
        <v>-10</v>
      </c>
      <c r="Y38" s="38">
        <v>-11</v>
      </c>
      <c r="Z38" s="38">
        <v>-11</v>
      </c>
      <c r="AA38" s="38">
        <v>-12</v>
      </c>
      <c r="AB38" s="40">
        <v>4100</v>
      </c>
      <c r="AC38" s="76">
        <v>36500</v>
      </c>
      <c r="AD38" s="38" t="s">
        <v>64</v>
      </c>
      <c r="AE38" s="43" t="s">
        <v>65</v>
      </c>
      <c r="AF38" s="38">
        <v>110</v>
      </c>
      <c r="AG38" s="38">
        <v>127</v>
      </c>
      <c r="AH38" s="38">
        <f t="shared" si="3"/>
        <v>118.5</v>
      </c>
      <c r="AI38" s="38">
        <v>1.8</v>
      </c>
      <c r="AJ38" s="38">
        <v>5</v>
      </c>
      <c r="AK38" s="38" t="s">
        <v>49</v>
      </c>
      <c r="AL38" s="38">
        <v>2200</v>
      </c>
      <c r="AM38" s="41">
        <v>1</v>
      </c>
    </row>
    <row r="39" spans="2:39" x14ac:dyDescent="0.2">
      <c r="B39" s="37">
        <v>37</v>
      </c>
      <c r="C39" s="38">
        <v>35</v>
      </c>
      <c r="D39" s="38" t="s">
        <v>92</v>
      </c>
      <c r="E39" s="39" t="str">
        <f t="shared" si="0"/>
        <v>35 - Ile-et-Vilaine</v>
      </c>
      <c r="F39" s="37">
        <v>37</v>
      </c>
      <c r="G39" s="38" t="s">
        <v>47</v>
      </c>
      <c r="H39" s="38" t="s">
        <v>44</v>
      </c>
      <c r="I39" s="38">
        <v>0</v>
      </c>
      <c r="J39" s="38">
        <f t="shared" si="1"/>
        <v>1</v>
      </c>
      <c r="K39" s="38">
        <f t="shared" si="2"/>
        <v>-2</v>
      </c>
      <c r="L39" s="38">
        <f t="shared" si="4"/>
        <v>-4</v>
      </c>
      <c r="M39" s="38">
        <v>-2</v>
      </c>
      <c r="N39" s="42">
        <v>-4</v>
      </c>
      <c r="O39" s="38">
        <v>-4</v>
      </c>
      <c r="P39" s="38" t="s">
        <v>2</v>
      </c>
      <c r="Q39" s="38" t="s">
        <v>2</v>
      </c>
      <c r="R39" s="38" t="s">
        <v>2</v>
      </c>
      <c r="S39" s="38" t="s">
        <v>2</v>
      </c>
      <c r="T39" s="38" t="s">
        <v>2</v>
      </c>
      <c r="U39" s="38" t="s">
        <v>2</v>
      </c>
      <c r="V39" s="38" t="s">
        <v>2</v>
      </c>
      <c r="W39" s="38" t="s">
        <v>2</v>
      </c>
      <c r="X39" s="38" t="s">
        <v>2</v>
      </c>
      <c r="Y39" s="38" t="s">
        <v>2</v>
      </c>
      <c r="Z39" s="38" t="s">
        <v>2</v>
      </c>
      <c r="AA39" s="38" t="s">
        <v>2</v>
      </c>
      <c r="AB39" s="40">
        <v>5300</v>
      </c>
      <c r="AC39" s="76">
        <v>53000</v>
      </c>
      <c r="AD39" s="38"/>
      <c r="AE39" s="38"/>
      <c r="AF39" s="38">
        <v>79</v>
      </c>
      <c r="AG39" s="38"/>
      <c r="AH39" s="38">
        <f t="shared" si="3"/>
        <v>79</v>
      </c>
      <c r="AI39" s="38"/>
      <c r="AJ39" s="38">
        <v>5</v>
      </c>
      <c r="AK39" s="38" t="s">
        <v>42</v>
      </c>
      <c r="AL39" s="38">
        <v>1450</v>
      </c>
      <c r="AM39" s="41">
        <v>1</v>
      </c>
    </row>
    <row r="40" spans="2:39" x14ac:dyDescent="0.2">
      <c r="B40" s="37">
        <v>38</v>
      </c>
      <c r="C40" s="38">
        <v>36</v>
      </c>
      <c r="D40" s="38" t="s">
        <v>93</v>
      </c>
      <c r="E40" s="39" t="str">
        <f t="shared" si="0"/>
        <v>36 - Indre</v>
      </c>
      <c r="F40" s="37">
        <v>38</v>
      </c>
      <c r="G40" s="38" t="s">
        <v>47</v>
      </c>
      <c r="H40" s="38" t="s">
        <v>60</v>
      </c>
      <c r="I40" s="38">
        <v>2</v>
      </c>
      <c r="J40" s="38">
        <f t="shared" si="1"/>
        <v>4</v>
      </c>
      <c r="K40" s="38">
        <f t="shared" si="2"/>
        <v>-7</v>
      </c>
      <c r="L40" s="38">
        <f t="shared" si="4"/>
        <v>-9</v>
      </c>
      <c r="M40" s="38" t="s">
        <v>2</v>
      </c>
      <c r="N40" s="42" t="s">
        <v>2</v>
      </c>
      <c r="O40" s="38">
        <v>-7</v>
      </c>
      <c r="P40" s="38">
        <v>-8</v>
      </c>
      <c r="Q40" s="38">
        <v>-9</v>
      </c>
      <c r="R40" s="38" t="s">
        <v>2</v>
      </c>
      <c r="S40" s="38" t="s">
        <v>2</v>
      </c>
      <c r="T40" s="38" t="s">
        <v>2</v>
      </c>
      <c r="U40" s="38" t="s">
        <v>2</v>
      </c>
      <c r="V40" s="38" t="s">
        <v>2</v>
      </c>
      <c r="W40" s="38" t="s">
        <v>2</v>
      </c>
      <c r="X40" s="38" t="s">
        <v>2</v>
      </c>
      <c r="Y40" s="38" t="s">
        <v>2</v>
      </c>
      <c r="Z40" s="38" t="s">
        <v>2</v>
      </c>
      <c r="AA40" s="38" t="s">
        <v>2</v>
      </c>
      <c r="AB40" s="40">
        <v>5300</v>
      </c>
      <c r="AC40" s="76">
        <v>59000</v>
      </c>
      <c r="AD40" s="38"/>
      <c r="AE40" s="38"/>
      <c r="AF40" s="38">
        <v>84</v>
      </c>
      <c r="AG40" s="38"/>
      <c r="AH40" s="38">
        <f t="shared" si="3"/>
        <v>84</v>
      </c>
      <c r="AI40" s="38"/>
      <c r="AJ40" s="38"/>
      <c r="AK40" s="38" t="s">
        <v>42</v>
      </c>
      <c r="AL40" s="38">
        <v>1450</v>
      </c>
      <c r="AM40" s="41">
        <v>1</v>
      </c>
    </row>
    <row r="41" spans="2:39" x14ac:dyDescent="0.2">
      <c r="B41" s="37">
        <v>39</v>
      </c>
      <c r="C41" s="38">
        <v>37</v>
      </c>
      <c r="D41" s="38" t="s">
        <v>94</v>
      </c>
      <c r="E41" s="39" t="str">
        <f t="shared" si="0"/>
        <v>37 - Indre-et-Loire</v>
      </c>
      <c r="F41" s="37">
        <v>39</v>
      </c>
      <c r="G41" s="38" t="s">
        <v>47</v>
      </c>
      <c r="H41" s="38" t="s">
        <v>60</v>
      </c>
      <c r="I41" s="38">
        <v>2</v>
      </c>
      <c r="J41" s="38">
        <f t="shared" si="1"/>
        <v>2</v>
      </c>
      <c r="K41" s="38">
        <f t="shared" si="2"/>
        <v>-7</v>
      </c>
      <c r="L41" s="38">
        <f t="shared" si="4"/>
        <v>-7</v>
      </c>
      <c r="M41" s="38" t="s">
        <v>2</v>
      </c>
      <c r="N41" s="42" t="s">
        <v>2</v>
      </c>
      <c r="O41" s="38">
        <v>-7</v>
      </c>
      <c r="P41" s="38" t="s">
        <v>2</v>
      </c>
      <c r="Q41" s="38" t="s">
        <v>2</v>
      </c>
      <c r="R41" s="38" t="s">
        <v>2</v>
      </c>
      <c r="S41" s="38" t="s">
        <v>2</v>
      </c>
      <c r="T41" s="38" t="s">
        <v>2</v>
      </c>
      <c r="U41" s="38" t="s">
        <v>2</v>
      </c>
      <c r="V41" s="38" t="s">
        <v>2</v>
      </c>
      <c r="W41" s="38" t="s">
        <v>2</v>
      </c>
      <c r="X41" s="38" t="s">
        <v>2</v>
      </c>
      <c r="Y41" s="38" t="s">
        <v>2</v>
      </c>
      <c r="Z41" s="38" t="s">
        <v>2</v>
      </c>
      <c r="AA41" s="38" t="s">
        <v>2</v>
      </c>
      <c r="AB41" s="40">
        <v>5300</v>
      </c>
      <c r="AC41" s="76">
        <v>57000</v>
      </c>
      <c r="AD41" s="38"/>
      <c r="AE41" s="38"/>
      <c r="AF41" s="38">
        <v>85</v>
      </c>
      <c r="AG41" s="38"/>
      <c r="AH41" s="38">
        <f t="shared" si="3"/>
        <v>85</v>
      </c>
      <c r="AI41" s="38"/>
      <c r="AJ41" s="38"/>
      <c r="AK41" s="38" t="s">
        <v>42</v>
      </c>
      <c r="AL41" s="38">
        <v>1450</v>
      </c>
      <c r="AM41" s="41">
        <v>1</v>
      </c>
    </row>
    <row r="42" spans="2:39" x14ac:dyDescent="0.2">
      <c r="B42" s="37">
        <v>40</v>
      </c>
      <c r="C42" s="38">
        <v>38</v>
      </c>
      <c r="D42" s="38" t="s">
        <v>95</v>
      </c>
      <c r="E42" s="39" t="str">
        <f t="shared" si="0"/>
        <v>38 - Isère</v>
      </c>
      <c r="F42" s="37">
        <v>40</v>
      </c>
      <c r="G42" s="38" t="s">
        <v>40</v>
      </c>
      <c r="H42" s="38" t="s">
        <v>41</v>
      </c>
      <c r="I42" s="38">
        <v>2</v>
      </c>
      <c r="J42" s="38">
        <f t="shared" si="1"/>
        <v>12</v>
      </c>
      <c r="K42" s="38">
        <f t="shared" si="2"/>
        <v>-10</v>
      </c>
      <c r="L42" s="38">
        <f t="shared" si="4"/>
        <v>-20</v>
      </c>
      <c r="M42" s="38" t="s">
        <v>2</v>
      </c>
      <c r="N42" s="42" t="s">
        <v>2</v>
      </c>
      <c r="O42" s="38">
        <v>-10</v>
      </c>
      <c r="P42" s="38">
        <v>-11</v>
      </c>
      <c r="Q42" s="38">
        <v>-12</v>
      </c>
      <c r="R42" s="38">
        <v>-13</v>
      </c>
      <c r="S42" s="38">
        <v>-14</v>
      </c>
      <c r="T42" s="38">
        <v>-15</v>
      </c>
      <c r="U42" s="38">
        <v>-16</v>
      </c>
      <c r="V42" s="38">
        <v>-17</v>
      </c>
      <c r="W42" s="38">
        <v>-18</v>
      </c>
      <c r="X42" s="38">
        <v>-19</v>
      </c>
      <c r="Y42" s="38">
        <v>-20</v>
      </c>
      <c r="Z42" s="38" t="s">
        <v>2</v>
      </c>
      <c r="AA42" s="38" t="s">
        <v>2</v>
      </c>
      <c r="AB42" s="40">
        <v>4800</v>
      </c>
      <c r="AC42" s="76">
        <v>62700</v>
      </c>
      <c r="AD42" s="38" t="s">
        <v>57</v>
      </c>
      <c r="AE42" s="38" t="s">
        <v>58</v>
      </c>
      <c r="AF42" s="38">
        <v>90</v>
      </c>
      <c r="AG42" s="38">
        <v>115</v>
      </c>
      <c r="AH42" s="38">
        <f t="shared" si="3"/>
        <v>102.5</v>
      </c>
      <c r="AI42" s="38">
        <v>1.5</v>
      </c>
      <c r="AJ42" s="38"/>
      <c r="AK42" s="38" t="s">
        <v>53</v>
      </c>
      <c r="AL42" s="38">
        <v>1800</v>
      </c>
      <c r="AM42" s="41">
        <v>1.1000000000000001</v>
      </c>
    </row>
    <row r="43" spans="2:39" x14ac:dyDescent="0.2">
      <c r="B43" s="37">
        <v>41</v>
      </c>
      <c r="C43" s="38">
        <v>39</v>
      </c>
      <c r="D43" s="38" t="s">
        <v>96</v>
      </c>
      <c r="E43" s="39" t="str">
        <f t="shared" si="0"/>
        <v>39 - Jura</v>
      </c>
      <c r="F43" s="37">
        <v>41</v>
      </c>
      <c r="G43" s="38" t="s">
        <v>40</v>
      </c>
      <c r="H43" s="38" t="s">
        <v>41</v>
      </c>
      <c r="I43" s="38">
        <v>2</v>
      </c>
      <c r="J43" s="38">
        <f t="shared" si="1"/>
        <v>12</v>
      </c>
      <c r="K43" s="38">
        <f t="shared" si="2"/>
        <v>-10</v>
      </c>
      <c r="L43" s="38">
        <f t="shared" si="4"/>
        <v>-20</v>
      </c>
      <c r="M43" s="38" t="s">
        <v>2</v>
      </c>
      <c r="N43" s="42" t="s">
        <v>2</v>
      </c>
      <c r="O43" s="38">
        <v>-10</v>
      </c>
      <c r="P43" s="38">
        <v>-11</v>
      </c>
      <c r="Q43" s="38">
        <v>-12</v>
      </c>
      <c r="R43" s="38">
        <v>-13</v>
      </c>
      <c r="S43" s="38">
        <v>-14</v>
      </c>
      <c r="T43" s="38">
        <v>-15</v>
      </c>
      <c r="U43" s="38">
        <v>-16</v>
      </c>
      <c r="V43" s="38">
        <v>-17</v>
      </c>
      <c r="W43" s="38">
        <v>-18</v>
      </c>
      <c r="X43" s="38">
        <v>-19</v>
      </c>
      <c r="Y43" s="38">
        <v>-20</v>
      </c>
      <c r="Z43" s="38" t="s">
        <v>2</v>
      </c>
      <c r="AA43" s="38" t="s">
        <v>2</v>
      </c>
      <c r="AB43" s="40">
        <v>4900</v>
      </c>
      <c r="AC43" s="76">
        <v>65000</v>
      </c>
      <c r="AD43" s="38"/>
      <c r="AE43" s="38"/>
      <c r="AF43" s="38">
        <v>74</v>
      </c>
      <c r="AG43" s="38"/>
      <c r="AH43" s="38">
        <f t="shared" si="3"/>
        <v>74</v>
      </c>
      <c r="AI43" s="38">
        <v>1.5</v>
      </c>
      <c r="AJ43" s="38"/>
      <c r="AK43" s="38" t="s">
        <v>42</v>
      </c>
      <c r="AL43" s="38">
        <v>1450</v>
      </c>
      <c r="AM43" s="41">
        <v>1</v>
      </c>
    </row>
    <row r="44" spans="2:39" x14ac:dyDescent="0.2">
      <c r="B44" s="37">
        <v>42</v>
      </c>
      <c r="C44" s="38">
        <v>40</v>
      </c>
      <c r="D44" s="38" t="s">
        <v>97</v>
      </c>
      <c r="E44" s="39" t="str">
        <f t="shared" si="0"/>
        <v>40 - Landes</v>
      </c>
      <c r="F44" s="37">
        <v>42</v>
      </c>
      <c r="G44" s="38" t="s">
        <v>47</v>
      </c>
      <c r="H44" s="38" t="s">
        <v>41</v>
      </c>
      <c r="I44" s="38">
        <v>0</v>
      </c>
      <c r="J44" s="38">
        <f t="shared" si="1"/>
        <v>3</v>
      </c>
      <c r="K44" s="38">
        <f t="shared" si="2"/>
        <v>-2</v>
      </c>
      <c r="L44" s="38">
        <f t="shared" si="4"/>
        <v>-6</v>
      </c>
      <c r="M44" s="38">
        <v>-2</v>
      </c>
      <c r="N44" s="42">
        <v>-4</v>
      </c>
      <c r="O44" s="38">
        <v>-5</v>
      </c>
      <c r="P44" s="38">
        <v>-6</v>
      </c>
      <c r="Q44" s="38" t="s">
        <v>2</v>
      </c>
      <c r="R44" s="38" t="s">
        <v>2</v>
      </c>
      <c r="S44" s="38" t="s">
        <v>2</v>
      </c>
      <c r="T44" s="38" t="s">
        <v>2</v>
      </c>
      <c r="U44" s="38" t="s">
        <v>2</v>
      </c>
      <c r="V44" s="38" t="s">
        <v>2</v>
      </c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40">
        <v>4400</v>
      </c>
      <c r="AC44" s="76">
        <v>42000</v>
      </c>
      <c r="AD44" s="38"/>
      <c r="AE44" s="38"/>
      <c r="AF44" s="38">
        <v>94</v>
      </c>
      <c r="AG44" s="38"/>
      <c r="AH44" s="38">
        <f t="shared" si="3"/>
        <v>94</v>
      </c>
      <c r="AI44" s="38"/>
      <c r="AJ44" s="38">
        <v>5</v>
      </c>
      <c r="AK44" s="38" t="s">
        <v>53</v>
      </c>
      <c r="AL44" s="38">
        <v>1800</v>
      </c>
      <c r="AM44" s="41">
        <v>1</v>
      </c>
    </row>
    <row r="45" spans="2:39" x14ac:dyDescent="0.2">
      <c r="B45" s="37">
        <v>43</v>
      </c>
      <c r="C45" s="38">
        <v>41</v>
      </c>
      <c r="D45" s="38" t="s">
        <v>98</v>
      </c>
      <c r="E45" s="39" t="str">
        <f t="shared" si="0"/>
        <v>41 - Loir-et-Cher</v>
      </c>
      <c r="F45" s="37">
        <v>43</v>
      </c>
      <c r="G45" s="38" t="s">
        <v>47</v>
      </c>
      <c r="H45" s="38" t="s">
        <v>60</v>
      </c>
      <c r="I45" s="38">
        <v>2</v>
      </c>
      <c r="J45" s="38">
        <f t="shared" si="1"/>
        <v>3</v>
      </c>
      <c r="K45" s="38">
        <f t="shared" si="2"/>
        <v>-7</v>
      </c>
      <c r="L45" s="38">
        <f t="shared" si="4"/>
        <v>-8</v>
      </c>
      <c r="M45" s="38" t="s">
        <v>2</v>
      </c>
      <c r="N45" s="42" t="s">
        <v>2</v>
      </c>
      <c r="O45" s="38">
        <v>-7</v>
      </c>
      <c r="P45" s="38">
        <v>-8</v>
      </c>
      <c r="Q45" s="38" t="s">
        <v>2</v>
      </c>
      <c r="R45" s="38" t="s">
        <v>2</v>
      </c>
      <c r="S45" s="38" t="s">
        <v>2</v>
      </c>
      <c r="T45" s="38" t="s">
        <v>2</v>
      </c>
      <c r="U45" s="38" t="s">
        <v>2</v>
      </c>
      <c r="V45" s="38" t="s">
        <v>2</v>
      </c>
      <c r="W45" s="38" t="s">
        <v>2</v>
      </c>
      <c r="X45" s="38" t="s">
        <v>2</v>
      </c>
      <c r="Y45" s="38" t="s">
        <v>2</v>
      </c>
      <c r="Z45" s="38" t="s">
        <v>2</v>
      </c>
      <c r="AA45" s="38" t="s">
        <v>2</v>
      </c>
      <c r="AB45" s="40">
        <v>5400</v>
      </c>
      <c r="AC45" s="76">
        <v>59000</v>
      </c>
      <c r="AD45" s="38"/>
      <c r="AE45" s="38"/>
      <c r="AF45" s="38">
        <v>82</v>
      </c>
      <c r="AG45" s="38"/>
      <c r="AH45" s="38">
        <f t="shared" si="3"/>
        <v>82</v>
      </c>
      <c r="AI45" s="38"/>
      <c r="AJ45" s="38"/>
      <c r="AK45" s="38" t="s">
        <v>42</v>
      </c>
      <c r="AL45" s="38">
        <v>1450</v>
      </c>
      <c r="AM45" s="41">
        <v>1</v>
      </c>
    </row>
    <row r="46" spans="2:39" x14ac:dyDescent="0.2">
      <c r="B46" s="37">
        <v>44</v>
      </c>
      <c r="C46" s="38">
        <v>42</v>
      </c>
      <c r="D46" s="38" t="s">
        <v>99</v>
      </c>
      <c r="E46" s="39" t="str">
        <f t="shared" si="0"/>
        <v>42 - Loire</v>
      </c>
      <c r="F46" s="37">
        <v>44</v>
      </c>
      <c r="G46" s="38" t="s">
        <v>40</v>
      </c>
      <c r="H46" s="38" t="s">
        <v>41</v>
      </c>
      <c r="I46" s="38">
        <v>2</v>
      </c>
      <c r="J46" s="38">
        <f t="shared" si="1"/>
        <v>12</v>
      </c>
      <c r="K46" s="38">
        <f t="shared" si="2"/>
        <v>-10</v>
      </c>
      <c r="L46" s="38">
        <f t="shared" si="4"/>
        <v>-20</v>
      </c>
      <c r="M46" s="38" t="s">
        <v>2</v>
      </c>
      <c r="N46" s="42" t="s">
        <v>2</v>
      </c>
      <c r="O46" s="38">
        <v>-10</v>
      </c>
      <c r="P46" s="38">
        <v>-11</v>
      </c>
      <c r="Q46" s="38">
        <v>-12</v>
      </c>
      <c r="R46" s="38">
        <v>-13</v>
      </c>
      <c r="S46" s="38">
        <v>-14</v>
      </c>
      <c r="T46" s="38">
        <v>-15</v>
      </c>
      <c r="U46" s="38">
        <v>-16</v>
      </c>
      <c r="V46" s="38">
        <v>-17</v>
      </c>
      <c r="W46" s="38">
        <v>-18</v>
      </c>
      <c r="X46" s="38">
        <v>-19</v>
      </c>
      <c r="Y46" s="38">
        <v>-20</v>
      </c>
      <c r="Z46" s="38" t="s">
        <v>2</v>
      </c>
      <c r="AA46" s="38" t="s">
        <v>2</v>
      </c>
      <c r="AB46" s="40">
        <v>4900</v>
      </c>
      <c r="AC46" s="76">
        <v>63300</v>
      </c>
      <c r="AD46" s="38"/>
      <c r="AE46" s="38"/>
      <c r="AF46" s="38">
        <v>83</v>
      </c>
      <c r="AG46" s="38"/>
      <c r="AH46" s="38">
        <f t="shared" si="3"/>
        <v>83</v>
      </c>
      <c r="AI46" s="38">
        <v>1.5</v>
      </c>
      <c r="AJ46" s="38"/>
      <c r="AK46" s="38" t="s">
        <v>42</v>
      </c>
      <c r="AL46" s="38">
        <v>1450</v>
      </c>
      <c r="AM46" s="41">
        <v>1</v>
      </c>
    </row>
    <row r="47" spans="2:39" x14ac:dyDescent="0.2">
      <c r="B47" s="37">
        <v>45</v>
      </c>
      <c r="C47" s="38">
        <v>43</v>
      </c>
      <c r="D47" s="38" t="s">
        <v>100</v>
      </c>
      <c r="E47" s="39" t="str">
        <f t="shared" si="0"/>
        <v>43 - Haute-Loire</v>
      </c>
      <c r="F47" s="37">
        <v>45</v>
      </c>
      <c r="G47" s="38" t="s">
        <v>40</v>
      </c>
      <c r="H47" s="38" t="s">
        <v>41</v>
      </c>
      <c r="I47" s="38">
        <v>2</v>
      </c>
      <c r="J47" s="38">
        <f t="shared" si="1"/>
        <v>13</v>
      </c>
      <c r="K47" s="38">
        <f t="shared" si="2"/>
        <v>-8</v>
      </c>
      <c r="L47" s="38">
        <f t="shared" si="4"/>
        <v>-19</v>
      </c>
      <c r="M47" s="38" t="s">
        <v>2</v>
      </c>
      <c r="N47" s="42" t="s">
        <v>2</v>
      </c>
      <c r="O47" s="38">
        <v>-8</v>
      </c>
      <c r="P47" s="38">
        <v>-9</v>
      </c>
      <c r="Q47" s="38">
        <v>-10</v>
      </c>
      <c r="R47" s="38">
        <v>-11</v>
      </c>
      <c r="S47" s="38">
        <v>-12</v>
      </c>
      <c r="T47" s="38">
        <v>-13</v>
      </c>
      <c r="U47" s="38">
        <v>-14</v>
      </c>
      <c r="V47" s="38">
        <v>-15</v>
      </c>
      <c r="W47" s="38">
        <v>-16</v>
      </c>
      <c r="X47" s="38">
        <v>-17</v>
      </c>
      <c r="Y47" s="38">
        <v>-18</v>
      </c>
      <c r="Z47" s="38">
        <v>-19</v>
      </c>
      <c r="AA47" s="38" t="s">
        <v>2</v>
      </c>
      <c r="AB47" s="40">
        <v>5000</v>
      </c>
      <c r="AC47" s="76">
        <v>61000</v>
      </c>
      <c r="AD47" s="38"/>
      <c r="AE47" s="38"/>
      <c r="AF47" s="38">
        <v>92</v>
      </c>
      <c r="AG47" s="38"/>
      <c r="AH47" s="38">
        <f t="shared" si="3"/>
        <v>92</v>
      </c>
      <c r="AI47" s="38">
        <v>1.5</v>
      </c>
      <c r="AJ47" s="38"/>
      <c r="AK47" s="38" t="s">
        <v>42</v>
      </c>
      <c r="AL47" s="38">
        <v>1450</v>
      </c>
      <c r="AM47" s="41">
        <v>1.1000000000000001</v>
      </c>
    </row>
    <row r="48" spans="2:39" x14ac:dyDescent="0.2">
      <c r="B48" s="37">
        <v>46</v>
      </c>
      <c r="C48" s="38">
        <v>44</v>
      </c>
      <c r="D48" s="38" t="s">
        <v>101</v>
      </c>
      <c r="E48" s="39" t="str">
        <f t="shared" si="0"/>
        <v>44 - Loire Atlantique</v>
      </c>
      <c r="F48" s="37">
        <v>46</v>
      </c>
      <c r="G48" s="38" t="s">
        <v>47</v>
      </c>
      <c r="H48" s="38" t="s">
        <v>60</v>
      </c>
      <c r="I48" s="38">
        <v>0</v>
      </c>
      <c r="J48" s="38">
        <f t="shared" si="1"/>
        <v>2</v>
      </c>
      <c r="K48" s="38">
        <f t="shared" si="2"/>
        <v>-2</v>
      </c>
      <c r="L48" s="38">
        <f t="shared" si="4"/>
        <v>-5</v>
      </c>
      <c r="M48" s="38">
        <v>-2</v>
      </c>
      <c r="N48" s="42">
        <v>-4</v>
      </c>
      <c r="O48" s="38">
        <v>-5</v>
      </c>
      <c r="P48" s="38" t="s">
        <v>2</v>
      </c>
      <c r="Q48" s="38" t="s">
        <v>2</v>
      </c>
      <c r="R48" s="38" t="s">
        <v>2</v>
      </c>
      <c r="S48" s="38" t="s">
        <v>2</v>
      </c>
      <c r="T48" s="38" t="s">
        <v>2</v>
      </c>
      <c r="U48" s="38" t="s">
        <v>2</v>
      </c>
      <c r="V48" s="38" t="s">
        <v>2</v>
      </c>
      <c r="W48" s="38" t="s">
        <v>2</v>
      </c>
      <c r="X48" s="38" t="s">
        <v>2</v>
      </c>
      <c r="Y48" s="38" t="s">
        <v>2</v>
      </c>
      <c r="Z48" s="38" t="s">
        <v>2</v>
      </c>
      <c r="AA48" s="38" t="s">
        <v>2</v>
      </c>
      <c r="AB48" s="40">
        <v>4900</v>
      </c>
      <c r="AC48" s="76">
        <v>49700</v>
      </c>
      <c r="AD48" s="38"/>
      <c r="AE48" s="38"/>
      <c r="AF48" s="38">
        <v>82</v>
      </c>
      <c r="AG48" s="38"/>
      <c r="AH48" s="38">
        <f t="shared" si="3"/>
        <v>82</v>
      </c>
      <c r="AI48" s="38"/>
      <c r="AJ48" s="38">
        <v>5</v>
      </c>
      <c r="AK48" s="38" t="s">
        <v>42</v>
      </c>
      <c r="AL48" s="38">
        <v>1450</v>
      </c>
      <c r="AM48" s="41">
        <v>1</v>
      </c>
    </row>
    <row r="49" spans="2:39" x14ac:dyDescent="0.2">
      <c r="B49" s="37">
        <v>47</v>
      </c>
      <c r="C49" s="38">
        <v>45</v>
      </c>
      <c r="D49" s="38" t="s">
        <v>102</v>
      </c>
      <c r="E49" s="39" t="str">
        <f t="shared" si="0"/>
        <v>45 - Loiret</v>
      </c>
      <c r="F49" s="37">
        <v>47</v>
      </c>
      <c r="G49" s="38" t="s">
        <v>40</v>
      </c>
      <c r="H49" s="38" t="s">
        <v>60</v>
      </c>
      <c r="I49" s="38">
        <v>2</v>
      </c>
      <c r="J49" s="38">
        <f t="shared" si="1"/>
        <v>3</v>
      </c>
      <c r="K49" s="38">
        <f t="shared" si="2"/>
        <v>-7</v>
      </c>
      <c r="L49" s="38">
        <f t="shared" si="4"/>
        <v>-8</v>
      </c>
      <c r="M49" s="38" t="s">
        <v>2</v>
      </c>
      <c r="N49" s="42" t="s">
        <v>2</v>
      </c>
      <c r="O49" s="38">
        <v>-7</v>
      </c>
      <c r="P49" s="38">
        <v>-8</v>
      </c>
      <c r="Q49" s="38" t="s">
        <v>2</v>
      </c>
      <c r="R49" s="38" t="s">
        <v>2</v>
      </c>
      <c r="S49" s="38" t="s">
        <v>2</v>
      </c>
      <c r="T49" s="38" t="s">
        <v>2</v>
      </c>
      <c r="U49" s="38" t="s">
        <v>2</v>
      </c>
      <c r="V49" s="38" t="s">
        <v>2</v>
      </c>
      <c r="W49" s="38" t="s">
        <v>2</v>
      </c>
      <c r="X49" s="38" t="s">
        <v>2</v>
      </c>
      <c r="Y49" s="38" t="s">
        <v>2</v>
      </c>
      <c r="Z49" s="38" t="s">
        <v>2</v>
      </c>
      <c r="AA49" s="38" t="s">
        <v>2</v>
      </c>
      <c r="AB49" s="40">
        <v>5400</v>
      </c>
      <c r="AC49" s="76">
        <v>61000</v>
      </c>
      <c r="AD49" s="38"/>
      <c r="AE49" s="38"/>
      <c r="AF49" s="38">
        <v>78</v>
      </c>
      <c r="AG49" s="38"/>
      <c r="AH49" s="38">
        <f t="shared" si="3"/>
        <v>78</v>
      </c>
      <c r="AI49" s="38"/>
      <c r="AJ49" s="38"/>
      <c r="AK49" s="38" t="s">
        <v>42</v>
      </c>
      <c r="AL49" s="38">
        <v>1450</v>
      </c>
      <c r="AM49" s="41">
        <v>1</v>
      </c>
    </row>
    <row r="50" spans="2:39" x14ac:dyDescent="0.2">
      <c r="B50" s="37">
        <v>48</v>
      </c>
      <c r="C50" s="38">
        <v>46</v>
      </c>
      <c r="D50" s="38" t="s">
        <v>103</v>
      </c>
      <c r="E50" s="39" t="str">
        <f t="shared" si="0"/>
        <v>46 - Lot</v>
      </c>
      <c r="F50" s="37">
        <v>48</v>
      </c>
      <c r="G50" s="38" t="s">
        <v>47</v>
      </c>
      <c r="H50" s="38" t="s">
        <v>41</v>
      </c>
      <c r="I50" s="38">
        <v>2</v>
      </c>
      <c r="J50" s="38">
        <f t="shared" si="1"/>
        <v>10</v>
      </c>
      <c r="K50" s="38">
        <f t="shared" si="2"/>
        <v>-6</v>
      </c>
      <c r="L50" s="38">
        <f t="shared" si="4"/>
        <v>-14</v>
      </c>
      <c r="M50" s="38" t="s">
        <v>2</v>
      </c>
      <c r="N50" s="42" t="s">
        <v>2</v>
      </c>
      <c r="O50" s="38">
        <v>-6</v>
      </c>
      <c r="P50" s="38">
        <v>-7</v>
      </c>
      <c r="Q50" s="38">
        <v>-8</v>
      </c>
      <c r="R50" s="38">
        <v>-9</v>
      </c>
      <c r="S50" s="38">
        <v>-10</v>
      </c>
      <c r="T50" s="38">
        <v>-11</v>
      </c>
      <c r="U50" s="38">
        <v>-12</v>
      </c>
      <c r="V50" s="38">
        <v>-13</v>
      </c>
      <c r="W50" s="38">
        <v>-14</v>
      </c>
      <c r="X50" s="38" t="s">
        <v>2</v>
      </c>
      <c r="Y50" s="38" t="s">
        <v>2</v>
      </c>
      <c r="Z50" s="38" t="s">
        <v>2</v>
      </c>
      <c r="AA50" s="38" t="s">
        <v>2</v>
      </c>
      <c r="AB50" s="40">
        <v>4600</v>
      </c>
      <c r="AC50" s="76">
        <v>51100</v>
      </c>
      <c r="AD50" s="38"/>
      <c r="AE50" s="38"/>
      <c r="AF50" s="38">
        <v>88</v>
      </c>
      <c r="AG50" s="38"/>
      <c r="AH50" s="38">
        <f t="shared" si="3"/>
        <v>88</v>
      </c>
      <c r="AI50" s="38">
        <v>1.5</v>
      </c>
      <c r="AJ50" s="38"/>
      <c r="AK50" s="38" t="s">
        <v>53</v>
      </c>
      <c r="AL50" s="38">
        <v>1800</v>
      </c>
      <c r="AM50" s="41">
        <v>1</v>
      </c>
    </row>
    <row r="51" spans="2:39" x14ac:dyDescent="0.2">
      <c r="B51" s="37">
        <v>49</v>
      </c>
      <c r="C51" s="38">
        <v>47</v>
      </c>
      <c r="D51" s="38" t="s">
        <v>104</v>
      </c>
      <c r="E51" s="39" t="str">
        <f t="shared" si="0"/>
        <v>47 - Lot-et-Garonne</v>
      </c>
      <c r="F51" s="37">
        <v>49</v>
      </c>
      <c r="G51" s="38" t="s">
        <v>47</v>
      </c>
      <c r="H51" s="38" t="s">
        <v>41</v>
      </c>
      <c r="I51" s="38">
        <v>2</v>
      </c>
      <c r="J51" s="38">
        <f t="shared" si="1"/>
        <v>3</v>
      </c>
      <c r="K51" s="38">
        <f t="shared" si="2"/>
        <v>-5</v>
      </c>
      <c r="L51" s="38">
        <f t="shared" si="4"/>
        <v>-6</v>
      </c>
      <c r="M51" s="38" t="s">
        <v>2</v>
      </c>
      <c r="N51" s="42" t="s">
        <v>2</v>
      </c>
      <c r="O51" s="38">
        <v>-5</v>
      </c>
      <c r="P51" s="38">
        <v>-6</v>
      </c>
      <c r="Q51" s="38" t="s">
        <v>2</v>
      </c>
      <c r="R51" s="38" t="s">
        <v>2</v>
      </c>
      <c r="S51" s="38" t="s">
        <v>2</v>
      </c>
      <c r="T51" s="38" t="s">
        <v>2</v>
      </c>
      <c r="U51" s="38" t="s">
        <v>2</v>
      </c>
      <c r="V51" s="38" t="s">
        <v>2</v>
      </c>
      <c r="W51" s="38" t="s">
        <v>2</v>
      </c>
      <c r="X51" s="38" t="s">
        <v>2</v>
      </c>
      <c r="Y51" s="38" t="s">
        <v>2</v>
      </c>
      <c r="Z51" s="38" t="s">
        <v>2</v>
      </c>
      <c r="AA51" s="38" t="s">
        <v>2</v>
      </c>
      <c r="AB51" s="40">
        <v>5000</v>
      </c>
      <c r="AC51" s="76">
        <v>49800</v>
      </c>
      <c r="AD51" s="38"/>
      <c r="AE51" s="38"/>
      <c r="AF51" s="38">
        <v>87</v>
      </c>
      <c r="AG51" s="38"/>
      <c r="AH51" s="38">
        <f t="shared" si="3"/>
        <v>87</v>
      </c>
      <c r="AI51" s="38"/>
      <c r="AJ51" s="38"/>
      <c r="AK51" s="38" t="s">
        <v>53</v>
      </c>
      <c r="AL51" s="38">
        <v>1800</v>
      </c>
      <c r="AM51" s="41">
        <v>1</v>
      </c>
    </row>
    <row r="52" spans="2:39" x14ac:dyDescent="0.2">
      <c r="B52" s="37">
        <v>50</v>
      </c>
      <c r="C52" s="38">
        <v>48</v>
      </c>
      <c r="D52" s="38" t="s">
        <v>105</v>
      </c>
      <c r="E52" s="39" t="str">
        <f t="shared" si="0"/>
        <v>48 - Lozère</v>
      </c>
      <c r="F52" s="37">
        <v>50</v>
      </c>
      <c r="G52" s="38" t="s">
        <v>47</v>
      </c>
      <c r="H52" s="38" t="s">
        <v>48</v>
      </c>
      <c r="I52" s="38">
        <v>2</v>
      </c>
      <c r="J52" s="38">
        <f t="shared" si="1"/>
        <v>13</v>
      </c>
      <c r="K52" s="38">
        <f t="shared" si="2"/>
        <v>-8</v>
      </c>
      <c r="L52" s="38">
        <f t="shared" si="4"/>
        <v>-19</v>
      </c>
      <c r="M52" s="38" t="s">
        <v>2</v>
      </c>
      <c r="N52" s="42" t="s">
        <v>2</v>
      </c>
      <c r="O52" s="38">
        <v>-8</v>
      </c>
      <c r="P52" s="38">
        <v>-9</v>
      </c>
      <c r="Q52" s="38">
        <v>-10</v>
      </c>
      <c r="R52" s="38">
        <v>-11</v>
      </c>
      <c r="S52" s="38">
        <v>-12</v>
      </c>
      <c r="T52" s="38">
        <v>-13</v>
      </c>
      <c r="U52" s="38">
        <v>-14</v>
      </c>
      <c r="V52" s="38">
        <v>-15</v>
      </c>
      <c r="W52" s="38">
        <v>-16</v>
      </c>
      <c r="X52" s="38">
        <v>-17</v>
      </c>
      <c r="Y52" s="38">
        <v>-18</v>
      </c>
      <c r="Z52" s="38">
        <v>-19</v>
      </c>
      <c r="AA52" s="38" t="s">
        <v>2</v>
      </c>
      <c r="AB52" s="40">
        <v>4600</v>
      </c>
      <c r="AC52" s="76">
        <v>64800</v>
      </c>
      <c r="AD52" s="38"/>
      <c r="AE52" s="38"/>
      <c r="AF52" s="38">
        <v>100</v>
      </c>
      <c r="AG52" s="38"/>
      <c r="AH52" s="38">
        <f t="shared" si="3"/>
        <v>100</v>
      </c>
      <c r="AI52" s="38">
        <v>1.5</v>
      </c>
      <c r="AJ52" s="38"/>
      <c r="AK52" s="38" t="s">
        <v>53</v>
      </c>
      <c r="AL52" s="38">
        <v>1800</v>
      </c>
      <c r="AM52" s="41">
        <v>1</v>
      </c>
    </row>
    <row r="53" spans="2:39" x14ac:dyDescent="0.2">
      <c r="B53" s="37">
        <v>51</v>
      </c>
      <c r="C53" s="38">
        <v>49</v>
      </c>
      <c r="D53" s="38" t="s">
        <v>106</v>
      </c>
      <c r="E53" s="39" t="str">
        <f t="shared" si="0"/>
        <v>49 - Maine-et-Loire</v>
      </c>
      <c r="F53" s="37">
        <v>51</v>
      </c>
      <c r="G53" s="38" t="s">
        <v>47</v>
      </c>
      <c r="H53" s="38" t="s">
        <v>60</v>
      </c>
      <c r="I53" s="38">
        <v>2</v>
      </c>
      <c r="J53" s="38">
        <f t="shared" si="1"/>
        <v>3</v>
      </c>
      <c r="K53" s="38">
        <f t="shared" si="2"/>
        <v>-7</v>
      </c>
      <c r="L53" s="38">
        <f t="shared" si="4"/>
        <v>-8</v>
      </c>
      <c r="M53" s="38" t="s">
        <v>2</v>
      </c>
      <c r="N53" s="42" t="s">
        <v>2</v>
      </c>
      <c r="O53" s="38">
        <v>-7</v>
      </c>
      <c r="P53" s="38">
        <v>-8</v>
      </c>
      <c r="Q53" s="38" t="s">
        <v>2</v>
      </c>
      <c r="R53" s="38" t="s">
        <v>2</v>
      </c>
      <c r="S53" s="38" t="s">
        <v>2</v>
      </c>
      <c r="T53" s="38" t="s">
        <v>2</v>
      </c>
      <c r="U53" s="38" t="s">
        <v>2</v>
      </c>
      <c r="V53" s="38" t="s">
        <v>2</v>
      </c>
      <c r="W53" s="38" t="s">
        <v>2</v>
      </c>
      <c r="X53" s="38" t="s">
        <v>2</v>
      </c>
      <c r="Y53" s="38" t="s">
        <v>2</v>
      </c>
      <c r="Z53" s="38" t="s">
        <v>2</v>
      </c>
      <c r="AA53" s="38" t="s">
        <v>2</v>
      </c>
      <c r="AB53" s="40">
        <v>5200</v>
      </c>
      <c r="AC53" s="76">
        <v>55000</v>
      </c>
      <c r="AD53" s="38"/>
      <c r="AE53" s="38"/>
      <c r="AF53" s="38">
        <v>83</v>
      </c>
      <c r="AG53" s="38"/>
      <c r="AH53" s="38">
        <f t="shared" si="3"/>
        <v>83</v>
      </c>
      <c r="AI53" s="38"/>
      <c r="AJ53" s="38"/>
      <c r="AK53" s="38" t="s">
        <v>42</v>
      </c>
      <c r="AL53" s="38">
        <v>1450</v>
      </c>
      <c r="AM53" s="41">
        <v>1</v>
      </c>
    </row>
    <row r="54" spans="2:39" x14ac:dyDescent="0.2">
      <c r="B54" s="37">
        <v>52</v>
      </c>
      <c r="C54" s="38">
        <v>50</v>
      </c>
      <c r="D54" s="38" t="s">
        <v>107</v>
      </c>
      <c r="E54" s="39" t="str">
        <f t="shared" si="0"/>
        <v>50 - Manche</v>
      </c>
      <c r="F54" s="37">
        <v>52</v>
      </c>
      <c r="G54" s="38" t="s">
        <v>47</v>
      </c>
      <c r="H54" s="38" t="s">
        <v>44</v>
      </c>
      <c r="I54" s="38">
        <v>0</v>
      </c>
      <c r="J54" s="38">
        <f t="shared" si="1"/>
        <v>3</v>
      </c>
      <c r="K54" s="38">
        <f t="shared" si="2"/>
        <v>-2</v>
      </c>
      <c r="L54" s="38">
        <f t="shared" si="4"/>
        <v>-5</v>
      </c>
      <c r="M54" s="38">
        <v>-2</v>
      </c>
      <c r="N54" s="42">
        <v>-2</v>
      </c>
      <c r="O54" s="38">
        <v>-4</v>
      </c>
      <c r="P54" s="38">
        <v>-5</v>
      </c>
      <c r="Q54" s="38" t="s">
        <v>2</v>
      </c>
      <c r="R54" s="38" t="s">
        <v>2</v>
      </c>
      <c r="S54" s="38" t="s">
        <v>2</v>
      </c>
      <c r="T54" s="38" t="s">
        <v>2</v>
      </c>
      <c r="U54" s="38" t="s">
        <v>2</v>
      </c>
      <c r="V54" s="38" t="s">
        <v>2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40">
        <v>5700</v>
      </c>
      <c r="AC54" s="76">
        <v>49700</v>
      </c>
      <c r="AD54" s="38"/>
      <c r="AE54" s="38"/>
      <c r="AF54" s="38">
        <v>76</v>
      </c>
      <c r="AG54" s="38"/>
      <c r="AH54" s="38">
        <f t="shared" si="3"/>
        <v>76</v>
      </c>
      <c r="AI54" s="38"/>
      <c r="AJ54" s="38">
        <v>4</v>
      </c>
      <c r="AK54" s="38" t="s">
        <v>38</v>
      </c>
      <c r="AL54" s="38">
        <v>1250</v>
      </c>
      <c r="AM54" s="41">
        <v>1</v>
      </c>
    </row>
    <row r="55" spans="2:39" x14ac:dyDescent="0.2">
      <c r="B55" s="37">
        <v>53</v>
      </c>
      <c r="C55" s="38">
        <v>51</v>
      </c>
      <c r="D55" s="38" t="s">
        <v>108</v>
      </c>
      <c r="E55" s="39" t="str">
        <f t="shared" si="0"/>
        <v>51 - Marne</v>
      </c>
      <c r="F55" s="37">
        <v>53</v>
      </c>
      <c r="G55" s="38" t="s">
        <v>40</v>
      </c>
      <c r="H55" s="38" t="s">
        <v>60</v>
      </c>
      <c r="I55" s="38">
        <v>2</v>
      </c>
      <c r="J55" s="38">
        <f t="shared" si="1"/>
        <v>3</v>
      </c>
      <c r="K55" s="38">
        <f t="shared" si="2"/>
        <v>-10</v>
      </c>
      <c r="L55" s="38">
        <f t="shared" si="4"/>
        <v>-11</v>
      </c>
      <c r="M55" s="38" t="s">
        <v>2</v>
      </c>
      <c r="N55" s="42" t="s">
        <v>2</v>
      </c>
      <c r="O55" s="38">
        <v>-10</v>
      </c>
      <c r="P55" s="38">
        <v>-11</v>
      </c>
      <c r="Q55" s="38" t="s">
        <v>2</v>
      </c>
      <c r="R55" s="38" t="s">
        <v>2</v>
      </c>
      <c r="S55" s="38" t="s">
        <v>2</v>
      </c>
      <c r="T55" s="38" t="s">
        <v>2</v>
      </c>
      <c r="U55" s="38" t="s">
        <v>2</v>
      </c>
      <c r="V55" s="38" t="s">
        <v>2</v>
      </c>
      <c r="W55" s="38" t="s">
        <v>2</v>
      </c>
      <c r="X55" s="38" t="s">
        <v>2</v>
      </c>
      <c r="Y55" s="38" t="s">
        <v>2</v>
      </c>
      <c r="Z55" s="38" t="s">
        <v>2</v>
      </c>
      <c r="AA55" s="38" t="s">
        <v>2</v>
      </c>
      <c r="AB55" s="40">
        <v>5600</v>
      </c>
      <c r="AC55" s="76">
        <v>65000</v>
      </c>
      <c r="AD55" s="38"/>
      <c r="AE55" s="38"/>
      <c r="AF55" s="38">
        <v>74</v>
      </c>
      <c r="AG55" s="38"/>
      <c r="AH55" s="38">
        <f t="shared" si="3"/>
        <v>74</v>
      </c>
      <c r="AI55" s="38"/>
      <c r="AJ55" s="38"/>
      <c r="AK55" s="38" t="s">
        <v>38</v>
      </c>
      <c r="AL55" s="38">
        <v>1250</v>
      </c>
      <c r="AM55" s="41">
        <v>1</v>
      </c>
    </row>
    <row r="56" spans="2:39" x14ac:dyDescent="0.2">
      <c r="B56" s="37">
        <v>54</v>
      </c>
      <c r="C56" s="38">
        <v>52</v>
      </c>
      <c r="D56" s="38" t="s">
        <v>109</v>
      </c>
      <c r="E56" s="39" t="str">
        <f t="shared" si="0"/>
        <v>52 - Haute-Marne</v>
      </c>
      <c r="F56" s="37">
        <v>54</v>
      </c>
      <c r="G56" s="38" t="s">
        <v>40</v>
      </c>
      <c r="H56" s="38" t="s">
        <v>60</v>
      </c>
      <c r="I56" s="38">
        <v>2</v>
      </c>
      <c r="J56" s="38">
        <f t="shared" si="1"/>
        <v>5</v>
      </c>
      <c r="K56" s="38">
        <f t="shared" si="2"/>
        <v>-12</v>
      </c>
      <c r="L56" s="38">
        <f t="shared" si="4"/>
        <v>-15</v>
      </c>
      <c r="M56" s="38" t="s">
        <v>2</v>
      </c>
      <c r="N56" s="42" t="s">
        <v>2</v>
      </c>
      <c r="O56" s="38">
        <v>-12</v>
      </c>
      <c r="P56" s="38">
        <v>-13</v>
      </c>
      <c r="Q56" s="38">
        <v>-14</v>
      </c>
      <c r="R56" s="38">
        <v>-15</v>
      </c>
      <c r="S56" s="38" t="s">
        <v>2</v>
      </c>
      <c r="T56" s="38" t="s">
        <v>2</v>
      </c>
      <c r="U56" s="38" t="s">
        <v>2</v>
      </c>
      <c r="V56" s="38" t="s">
        <v>2</v>
      </c>
      <c r="W56" s="38" t="s">
        <v>2</v>
      </c>
      <c r="X56" s="38" t="s">
        <v>2</v>
      </c>
      <c r="Y56" s="38" t="s">
        <v>2</v>
      </c>
      <c r="Z56" s="38" t="s">
        <v>2</v>
      </c>
      <c r="AA56" s="38" t="s">
        <v>2</v>
      </c>
      <c r="AB56" s="40">
        <v>5200</v>
      </c>
      <c r="AC56" s="76">
        <v>62700</v>
      </c>
      <c r="AD56" s="38"/>
      <c r="AE56" s="38"/>
      <c r="AF56" s="38">
        <v>73</v>
      </c>
      <c r="AG56" s="38"/>
      <c r="AH56" s="38">
        <f t="shared" si="3"/>
        <v>73</v>
      </c>
      <c r="AI56" s="38">
        <v>1.5</v>
      </c>
      <c r="AJ56" s="38"/>
      <c r="AK56" s="38" t="s">
        <v>38</v>
      </c>
      <c r="AL56" s="38">
        <v>1250</v>
      </c>
      <c r="AM56" s="41">
        <v>1</v>
      </c>
    </row>
    <row r="57" spans="2:39" x14ac:dyDescent="0.2">
      <c r="B57" s="37">
        <v>55</v>
      </c>
      <c r="C57" s="38">
        <v>53</v>
      </c>
      <c r="D57" s="38" t="s">
        <v>110</v>
      </c>
      <c r="E57" s="39" t="str">
        <f t="shared" si="0"/>
        <v>53 - Mayenne</v>
      </c>
      <c r="F57" s="37">
        <v>55</v>
      </c>
      <c r="G57" s="38" t="s">
        <v>47</v>
      </c>
      <c r="H57" s="38" t="s">
        <v>60</v>
      </c>
      <c r="I57" s="38">
        <v>2</v>
      </c>
      <c r="J57" s="38">
        <f t="shared" si="1"/>
        <v>3</v>
      </c>
      <c r="K57" s="38">
        <f t="shared" si="2"/>
        <v>-7</v>
      </c>
      <c r="L57" s="38">
        <f t="shared" si="4"/>
        <v>-8</v>
      </c>
      <c r="M57" s="38" t="s">
        <v>2</v>
      </c>
      <c r="N57" s="42" t="s">
        <v>2</v>
      </c>
      <c r="O57" s="38">
        <v>-7</v>
      </c>
      <c r="P57" s="38">
        <v>-8</v>
      </c>
      <c r="Q57" s="38" t="s">
        <v>2</v>
      </c>
      <c r="R57" s="38" t="s">
        <v>2</v>
      </c>
      <c r="S57" s="38" t="s">
        <v>2</v>
      </c>
      <c r="T57" s="38" t="s">
        <v>2</v>
      </c>
      <c r="U57" s="38" t="s">
        <v>2</v>
      </c>
      <c r="V57" s="38" t="s">
        <v>2</v>
      </c>
      <c r="W57" s="38" t="s">
        <v>2</v>
      </c>
      <c r="X57" s="38" t="s">
        <v>2</v>
      </c>
      <c r="Y57" s="38" t="s">
        <v>2</v>
      </c>
      <c r="Z57" s="38" t="s">
        <v>2</v>
      </c>
      <c r="AA57" s="38" t="s">
        <v>2</v>
      </c>
      <c r="AB57" s="40">
        <v>5200</v>
      </c>
      <c r="AC57" s="76">
        <v>55200</v>
      </c>
      <c r="AD57" s="38"/>
      <c r="AE57" s="38"/>
      <c r="AF57" s="38">
        <v>81</v>
      </c>
      <c r="AG57" s="38"/>
      <c r="AH57" s="38">
        <f t="shared" si="3"/>
        <v>81</v>
      </c>
      <c r="AI57" s="38"/>
      <c r="AJ57" s="38"/>
      <c r="AK57" s="38" t="s">
        <v>42</v>
      </c>
      <c r="AL57" s="38">
        <v>1450</v>
      </c>
      <c r="AM57" s="41">
        <v>1</v>
      </c>
    </row>
    <row r="58" spans="2:39" x14ac:dyDescent="0.2">
      <c r="B58" s="37">
        <v>56</v>
      </c>
      <c r="C58" s="38">
        <v>54</v>
      </c>
      <c r="D58" s="38" t="s">
        <v>111</v>
      </c>
      <c r="E58" s="39" t="str">
        <f t="shared" si="0"/>
        <v>54 - Meurthe-et-Moselle</v>
      </c>
      <c r="F58" s="37">
        <v>56</v>
      </c>
      <c r="G58" s="38" t="s">
        <v>40</v>
      </c>
      <c r="H58" s="38" t="s">
        <v>60</v>
      </c>
      <c r="I58" s="38">
        <v>2</v>
      </c>
      <c r="J58" s="38">
        <f t="shared" si="1"/>
        <v>8</v>
      </c>
      <c r="K58" s="38">
        <f t="shared" si="2"/>
        <v>-15</v>
      </c>
      <c r="L58" s="38">
        <f t="shared" si="4"/>
        <v>-20</v>
      </c>
      <c r="M58" s="38" t="s">
        <v>2</v>
      </c>
      <c r="N58" s="42" t="s">
        <v>2</v>
      </c>
      <c r="O58" s="38">
        <v>-15</v>
      </c>
      <c r="P58" s="38">
        <v>-15</v>
      </c>
      <c r="Q58" s="38">
        <v>-16</v>
      </c>
      <c r="R58" s="38">
        <v>-17</v>
      </c>
      <c r="S58" s="38">
        <v>-18</v>
      </c>
      <c r="T58" s="38">
        <v>-19</v>
      </c>
      <c r="U58" s="38">
        <v>-20</v>
      </c>
      <c r="V58" s="38" t="s">
        <v>2</v>
      </c>
      <c r="W58" s="38" t="s">
        <v>2</v>
      </c>
      <c r="X58" s="38" t="s">
        <v>2</v>
      </c>
      <c r="Y58" s="38" t="s">
        <v>2</v>
      </c>
      <c r="Z58" s="38" t="s">
        <v>2</v>
      </c>
      <c r="AA58" s="38" t="s">
        <v>2</v>
      </c>
      <c r="AB58" s="40">
        <v>5800</v>
      </c>
      <c r="AC58" s="76">
        <v>66500</v>
      </c>
      <c r="AD58" s="38"/>
      <c r="AE58" s="38"/>
      <c r="AF58" s="38">
        <v>69</v>
      </c>
      <c r="AG58" s="38"/>
      <c r="AH58" s="38">
        <f t="shared" si="3"/>
        <v>69</v>
      </c>
      <c r="AI58" s="38"/>
      <c r="AJ58" s="38"/>
      <c r="AK58" s="38" t="s">
        <v>38</v>
      </c>
      <c r="AL58" s="38">
        <v>1250</v>
      </c>
      <c r="AM58" s="41">
        <v>1</v>
      </c>
    </row>
    <row r="59" spans="2:39" x14ac:dyDescent="0.2">
      <c r="B59" s="37">
        <v>57</v>
      </c>
      <c r="C59" s="38">
        <v>55</v>
      </c>
      <c r="D59" s="38" t="s">
        <v>112</v>
      </c>
      <c r="E59" s="39" t="str">
        <f t="shared" si="0"/>
        <v>55 - Meuse</v>
      </c>
      <c r="F59" s="37">
        <v>57</v>
      </c>
      <c r="G59" s="38" t="s">
        <v>40</v>
      </c>
      <c r="H59" s="38" t="s">
        <v>60</v>
      </c>
      <c r="I59" s="38">
        <v>2</v>
      </c>
      <c r="J59" s="38">
        <f t="shared" si="1"/>
        <v>4</v>
      </c>
      <c r="K59" s="38">
        <f t="shared" si="2"/>
        <v>-12</v>
      </c>
      <c r="L59" s="38">
        <f t="shared" si="4"/>
        <v>-14</v>
      </c>
      <c r="M59" s="38" t="s">
        <v>2</v>
      </c>
      <c r="N59" s="42" t="s">
        <v>2</v>
      </c>
      <c r="O59" s="38">
        <v>-12</v>
      </c>
      <c r="P59" s="38">
        <v>-13</v>
      </c>
      <c r="Q59" s="38">
        <v>-14</v>
      </c>
      <c r="R59" s="38" t="s">
        <v>2</v>
      </c>
      <c r="S59" s="38" t="s">
        <v>2</v>
      </c>
      <c r="T59" s="38" t="s">
        <v>2</v>
      </c>
      <c r="U59" s="38" t="s">
        <v>2</v>
      </c>
      <c r="V59" s="38" t="s">
        <v>2</v>
      </c>
      <c r="W59" s="38" t="s">
        <v>2</v>
      </c>
      <c r="X59" s="38" t="s">
        <v>2</v>
      </c>
      <c r="Y59" s="38" t="s">
        <v>2</v>
      </c>
      <c r="Z59" s="38" t="s">
        <v>2</v>
      </c>
      <c r="AA59" s="38" t="s">
        <v>2</v>
      </c>
      <c r="AB59" s="40">
        <v>5600</v>
      </c>
      <c r="AC59" s="76">
        <v>71200</v>
      </c>
      <c r="AD59" s="38"/>
      <c r="AE59" s="38"/>
      <c r="AF59" s="38">
        <v>71</v>
      </c>
      <c r="AG59" s="38"/>
      <c r="AH59" s="38">
        <f t="shared" si="3"/>
        <v>71</v>
      </c>
      <c r="AI59" s="38"/>
      <c r="AJ59" s="38"/>
      <c r="AK59" s="38" t="s">
        <v>38</v>
      </c>
      <c r="AL59" s="38">
        <v>1250</v>
      </c>
      <c r="AM59" s="41">
        <v>1</v>
      </c>
    </row>
    <row r="60" spans="2:39" x14ac:dyDescent="0.2">
      <c r="B60" s="37">
        <v>58</v>
      </c>
      <c r="C60" s="38">
        <v>56</v>
      </c>
      <c r="D60" s="38" t="s">
        <v>113</v>
      </c>
      <c r="E60" s="39" t="str">
        <f t="shared" si="0"/>
        <v>56 - Morbihan</v>
      </c>
      <c r="F60" s="37">
        <v>58</v>
      </c>
      <c r="G60" s="38" t="s">
        <v>47</v>
      </c>
      <c r="H60" s="38" t="s">
        <v>44</v>
      </c>
      <c r="I60" s="38">
        <v>0</v>
      </c>
      <c r="J60" s="38">
        <f t="shared" si="1"/>
        <v>3</v>
      </c>
      <c r="K60" s="38">
        <f t="shared" si="2"/>
        <v>-2</v>
      </c>
      <c r="L60" s="38">
        <f t="shared" si="4"/>
        <v>-5</v>
      </c>
      <c r="M60" s="38">
        <v>-2</v>
      </c>
      <c r="N60" s="42">
        <v>-4</v>
      </c>
      <c r="O60" s="38">
        <v>-4</v>
      </c>
      <c r="P60" s="38">
        <v>-5</v>
      </c>
      <c r="Q60" s="38" t="s">
        <v>2</v>
      </c>
      <c r="R60" s="38" t="s">
        <v>2</v>
      </c>
      <c r="S60" s="38" t="s">
        <v>2</v>
      </c>
      <c r="T60" s="38" t="s">
        <v>2</v>
      </c>
      <c r="U60" s="38" t="s">
        <v>2</v>
      </c>
      <c r="V60" s="38" t="s">
        <v>2</v>
      </c>
      <c r="W60" s="38" t="s">
        <v>2</v>
      </c>
      <c r="X60" s="38" t="s">
        <v>2</v>
      </c>
      <c r="Y60" s="38" t="s">
        <v>2</v>
      </c>
      <c r="Z60" s="38" t="s">
        <v>2</v>
      </c>
      <c r="AA60" s="38" t="s">
        <v>2</v>
      </c>
      <c r="AB60" s="40">
        <v>5100</v>
      </c>
      <c r="AC60" s="76">
        <v>48000</v>
      </c>
      <c r="AD60" s="38"/>
      <c r="AE60" s="38"/>
      <c r="AF60" s="38">
        <v>79</v>
      </c>
      <c r="AG60" s="38"/>
      <c r="AH60" s="38">
        <f t="shared" si="3"/>
        <v>79</v>
      </c>
      <c r="AI60" s="38"/>
      <c r="AJ60" s="38">
        <v>5</v>
      </c>
      <c r="AK60" s="38" t="s">
        <v>42</v>
      </c>
      <c r="AL60" s="38">
        <v>1450</v>
      </c>
      <c r="AM60" s="41">
        <v>1</v>
      </c>
    </row>
    <row r="61" spans="2:39" x14ac:dyDescent="0.2">
      <c r="B61" s="37">
        <v>59</v>
      </c>
      <c r="C61" s="38">
        <v>57</v>
      </c>
      <c r="D61" s="38" t="s">
        <v>114</v>
      </c>
      <c r="E61" s="39" t="str">
        <f t="shared" si="0"/>
        <v>57 - Moselle</v>
      </c>
      <c r="F61" s="37">
        <v>59</v>
      </c>
      <c r="G61" s="38" t="s">
        <v>40</v>
      </c>
      <c r="H61" s="38" t="s">
        <v>60</v>
      </c>
      <c r="I61" s="38">
        <v>2</v>
      </c>
      <c r="J61" s="38">
        <f t="shared" si="1"/>
        <v>8</v>
      </c>
      <c r="K61" s="38">
        <f t="shared" si="2"/>
        <v>-15</v>
      </c>
      <c r="L61" s="38">
        <f t="shared" si="4"/>
        <v>-20</v>
      </c>
      <c r="M61" s="38" t="s">
        <v>2</v>
      </c>
      <c r="N61" s="42" t="s">
        <v>2</v>
      </c>
      <c r="O61" s="38">
        <v>-15</v>
      </c>
      <c r="P61" s="38">
        <v>-15</v>
      </c>
      <c r="Q61" s="38">
        <v>-16</v>
      </c>
      <c r="R61" s="38">
        <v>-17</v>
      </c>
      <c r="S61" s="38">
        <v>-18</v>
      </c>
      <c r="T61" s="38">
        <v>-19</v>
      </c>
      <c r="U61" s="38">
        <v>-20</v>
      </c>
      <c r="V61" s="38" t="s">
        <v>2</v>
      </c>
      <c r="W61" s="38" t="s">
        <v>2</v>
      </c>
      <c r="X61" s="38" t="s">
        <v>2</v>
      </c>
      <c r="Y61" s="38" t="s">
        <v>2</v>
      </c>
      <c r="Z61" s="38" t="s">
        <v>2</v>
      </c>
      <c r="AA61" s="38" t="s">
        <v>2</v>
      </c>
      <c r="AB61" s="40">
        <v>5600</v>
      </c>
      <c r="AC61" s="76">
        <v>68000</v>
      </c>
      <c r="AD61" s="38"/>
      <c r="AE61" s="38"/>
      <c r="AF61" s="38">
        <v>69</v>
      </c>
      <c r="AG61" s="38"/>
      <c r="AH61" s="38">
        <f t="shared" si="3"/>
        <v>69</v>
      </c>
      <c r="AI61" s="38"/>
      <c r="AJ61" s="38"/>
      <c r="AK61" s="38" t="s">
        <v>38</v>
      </c>
      <c r="AL61" s="38">
        <v>1250</v>
      </c>
      <c r="AM61" s="41">
        <v>1</v>
      </c>
    </row>
    <row r="62" spans="2:39" x14ac:dyDescent="0.2">
      <c r="B62" s="37">
        <v>60</v>
      </c>
      <c r="C62" s="38">
        <v>58</v>
      </c>
      <c r="D62" s="38" t="s">
        <v>115</v>
      </c>
      <c r="E62" s="39" t="str">
        <f t="shared" si="0"/>
        <v>58 - Nièvre</v>
      </c>
      <c r="F62" s="37">
        <v>60</v>
      </c>
      <c r="G62" s="38" t="s">
        <v>40</v>
      </c>
      <c r="H62" s="38" t="s">
        <v>60</v>
      </c>
      <c r="I62" s="38">
        <v>2</v>
      </c>
      <c r="J62" s="38">
        <f t="shared" si="1"/>
        <v>12</v>
      </c>
      <c r="K62" s="38">
        <f t="shared" si="2"/>
        <v>-10</v>
      </c>
      <c r="L62" s="38">
        <f t="shared" si="4"/>
        <v>-20</v>
      </c>
      <c r="M62" s="38" t="s">
        <v>2</v>
      </c>
      <c r="N62" s="42" t="s">
        <v>2</v>
      </c>
      <c r="O62" s="38">
        <v>-10</v>
      </c>
      <c r="P62" s="38">
        <v>-11</v>
      </c>
      <c r="Q62" s="38">
        <v>-12</v>
      </c>
      <c r="R62" s="38">
        <v>-13</v>
      </c>
      <c r="S62" s="38">
        <v>-14</v>
      </c>
      <c r="T62" s="38">
        <v>-15</v>
      </c>
      <c r="U62" s="38">
        <v>-16</v>
      </c>
      <c r="V62" s="38">
        <v>-17</v>
      </c>
      <c r="W62" s="38">
        <v>-18</v>
      </c>
      <c r="X62" s="38">
        <v>-19</v>
      </c>
      <c r="Y62" s="38">
        <v>-20</v>
      </c>
      <c r="Z62" s="38" t="s">
        <v>2</v>
      </c>
      <c r="AA62" s="38" t="s">
        <v>2</v>
      </c>
      <c r="AB62" s="40">
        <v>5200</v>
      </c>
      <c r="AC62" s="76">
        <v>60800</v>
      </c>
      <c r="AD62" s="38"/>
      <c r="AE62" s="38"/>
      <c r="AF62" s="38">
        <v>76</v>
      </c>
      <c r="AG62" s="38"/>
      <c r="AH62" s="38">
        <f t="shared" si="3"/>
        <v>76</v>
      </c>
      <c r="AI62" s="38">
        <v>1.5</v>
      </c>
      <c r="AJ62" s="38"/>
      <c r="AK62" s="38" t="s">
        <v>42</v>
      </c>
      <c r="AL62" s="38">
        <v>1450</v>
      </c>
      <c r="AM62" s="41">
        <v>1</v>
      </c>
    </row>
    <row r="63" spans="2:39" x14ac:dyDescent="0.2">
      <c r="B63" s="37">
        <v>61</v>
      </c>
      <c r="C63" s="38">
        <v>59</v>
      </c>
      <c r="D63" s="38" t="s">
        <v>57</v>
      </c>
      <c r="E63" s="39" t="str">
        <f t="shared" si="0"/>
        <v>59 - Nord</v>
      </c>
      <c r="F63" s="37">
        <v>61</v>
      </c>
      <c r="G63" s="38" t="s">
        <v>40</v>
      </c>
      <c r="H63" s="38" t="s">
        <v>44</v>
      </c>
      <c r="I63" s="38">
        <v>0</v>
      </c>
      <c r="J63" s="38">
        <f t="shared" si="1"/>
        <v>3</v>
      </c>
      <c r="K63" s="38">
        <f t="shared" si="2"/>
        <v>-7</v>
      </c>
      <c r="L63" s="38">
        <f t="shared" si="4"/>
        <v>-10</v>
      </c>
      <c r="M63" s="38">
        <v>-7</v>
      </c>
      <c r="N63" s="42">
        <v>-9</v>
      </c>
      <c r="O63" s="38">
        <v>-9</v>
      </c>
      <c r="P63" s="38">
        <v>-10</v>
      </c>
      <c r="Q63" s="38" t="s">
        <v>2</v>
      </c>
      <c r="R63" s="38" t="s">
        <v>2</v>
      </c>
      <c r="S63" s="38" t="s">
        <v>2</v>
      </c>
      <c r="T63" s="38" t="s">
        <v>2</v>
      </c>
      <c r="U63" s="38" t="s">
        <v>2</v>
      </c>
      <c r="V63" s="38" t="s">
        <v>2</v>
      </c>
      <c r="W63" s="38" t="s">
        <v>2</v>
      </c>
      <c r="X63" s="38" t="s">
        <v>2</v>
      </c>
      <c r="Y63" s="38" t="s">
        <v>2</v>
      </c>
      <c r="Z63" s="38" t="s">
        <v>2</v>
      </c>
      <c r="AA63" s="38" t="s">
        <v>2</v>
      </c>
      <c r="AB63" s="40">
        <v>5500</v>
      </c>
      <c r="AC63" s="76">
        <v>60000</v>
      </c>
      <c r="AD63" s="38"/>
      <c r="AE63" s="38"/>
      <c r="AF63" s="38">
        <v>69</v>
      </c>
      <c r="AG63" s="38"/>
      <c r="AH63" s="38">
        <f t="shared" si="3"/>
        <v>69</v>
      </c>
      <c r="AI63" s="38"/>
      <c r="AJ63" s="38">
        <v>5</v>
      </c>
      <c r="AK63" s="38" t="s">
        <v>38</v>
      </c>
      <c r="AL63" s="38">
        <v>1250</v>
      </c>
      <c r="AM63" s="41">
        <v>1</v>
      </c>
    </row>
    <row r="64" spans="2:39" x14ac:dyDescent="0.2">
      <c r="B64" s="37">
        <v>62</v>
      </c>
      <c r="C64" s="38">
        <v>60</v>
      </c>
      <c r="D64" s="38" t="s">
        <v>116</v>
      </c>
      <c r="E64" s="39" t="str">
        <f t="shared" si="0"/>
        <v>60 - Oise</v>
      </c>
      <c r="F64" s="37">
        <v>62</v>
      </c>
      <c r="G64" s="38" t="s">
        <v>40</v>
      </c>
      <c r="H64" s="38" t="s">
        <v>44</v>
      </c>
      <c r="I64" s="38">
        <v>2</v>
      </c>
      <c r="J64" s="38">
        <f t="shared" si="1"/>
        <v>3</v>
      </c>
      <c r="K64" s="38">
        <f t="shared" si="2"/>
        <v>-7</v>
      </c>
      <c r="L64" s="38">
        <f t="shared" si="4"/>
        <v>-8</v>
      </c>
      <c r="M64" s="38" t="s">
        <v>2</v>
      </c>
      <c r="N64" s="42" t="s">
        <v>2</v>
      </c>
      <c r="O64" s="38">
        <v>-7</v>
      </c>
      <c r="P64" s="38">
        <v>-8</v>
      </c>
      <c r="Q64" s="38" t="s">
        <v>2</v>
      </c>
      <c r="R64" s="38" t="s">
        <v>2</v>
      </c>
      <c r="S64" s="38" t="s">
        <v>2</v>
      </c>
      <c r="T64" s="38" t="s">
        <v>2</v>
      </c>
      <c r="U64" s="38" t="s">
        <v>2</v>
      </c>
      <c r="V64" s="38" t="s">
        <v>2</v>
      </c>
      <c r="W64" s="38" t="s">
        <v>2</v>
      </c>
      <c r="X64" s="38" t="s">
        <v>2</v>
      </c>
      <c r="Y64" s="38" t="s">
        <v>2</v>
      </c>
      <c r="Z64" s="38" t="s">
        <v>2</v>
      </c>
      <c r="AA64" s="38" t="s">
        <v>2</v>
      </c>
      <c r="AB64" s="40">
        <v>5700</v>
      </c>
      <c r="AC64" s="76">
        <v>61200</v>
      </c>
      <c r="AD64" s="38"/>
      <c r="AE64" s="38"/>
      <c r="AF64" s="38">
        <v>75</v>
      </c>
      <c r="AG64" s="38"/>
      <c r="AH64" s="38">
        <f t="shared" si="3"/>
        <v>75</v>
      </c>
      <c r="AI64" s="38"/>
      <c r="AJ64" s="38"/>
      <c r="AK64" s="38" t="s">
        <v>38</v>
      </c>
      <c r="AL64" s="38">
        <v>1250</v>
      </c>
      <c r="AM64" s="41">
        <v>1</v>
      </c>
    </row>
    <row r="65" spans="2:39" x14ac:dyDescent="0.2">
      <c r="B65" s="37">
        <v>63</v>
      </c>
      <c r="C65" s="38">
        <v>61</v>
      </c>
      <c r="D65" s="38" t="s">
        <v>117</v>
      </c>
      <c r="E65" s="39" t="str">
        <f t="shared" si="0"/>
        <v>61 - Orne</v>
      </c>
      <c r="F65" s="37">
        <v>63</v>
      </c>
      <c r="G65" s="38" t="s">
        <v>40</v>
      </c>
      <c r="H65" s="38" t="s">
        <v>44</v>
      </c>
      <c r="I65" s="38">
        <v>2</v>
      </c>
      <c r="J65" s="38">
        <f t="shared" si="1"/>
        <v>4</v>
      </c>
      <c r="K65" s="38">
        <f t="shared" si="2"/>
        <v>-7</v>
      </c>
      <c r="L65" s="38">
        <f t="shared" si="4"/>
        <v>-9</v>
      </c>
      <c r="M65" s="38" t="s">
        <v>2</v>
      </c>
      <c r="N65" s="42" t="s">
        <v>2</v>
      </c>
      <c r="O65" s="38">
        <v>-7</v>
      </c>
      <c r="P65" s="38">
        <v>-8</v>
      </c>
      <c r="Q65" s="38">
        <v>-9</v>
      </c>
      <c r="R65" s="38" t="s">
        <v>2</v>
      </c>
      <c r="S65" s="38" t="s">
        <v>2</v>
      </c>
      <c r="T65" s="38" t="s">
        <v>2</v>
      </c>
      <c r="U65" s="38" t="s">
        <v>2</v>
      </c>
      <c r="V65" s="38" t="s">
        <v>2</v>
      </c>
      <c r="W65" s="38" t="s">
        <v>2</v>
      </c>
      <c r="X65" s="38" t="s">
        <v>2</v>
      </c>
      <c r="Y65" s="38" t="s">
        <v>2</v>
      </c>
      <c r="Z65" s="38" t="s">
        <v>2</v>
      </c>
      <c r="AA65" s="38" t="s">
        <v>2</v>
      </c>
      <c r="AB65" s="40">
        <v>5600</v>
      </c>
      <c r="AC65" s="76">
        <v>60900</v>
      </c>
      <c r="AD65" s="38"/>
      <c r="AE65" s="38"/>
      <c r="AF65" s="38">
        <v>79</v>
      </c>
      <c r="AG65" s="38"/>
      <c r="AH65" s="38">
        <f t="shared" si="3"/>
        <v>79</v>
      </c>
      <c r="AI65" s="38"/>
      <c r="AJ65" s="38"/>
      <c r="AK65" s="38" t="s">
        <v>38</v>
      </c>
      <c r="AL65" s="38">
        <v>1250</v>
      </c>
      <c r="AM65" s="41">
        <v>1</v>
      </c>
    </row>
    <row r="66" spans="2:39" x14ac:dyDescent="0.2">
      <c r="B66" s="37">
        <v>64</v>
      </c>
      <c r="C66" s="38">
        <v>62</v>
      </c>
      <c r="D66" s="38" t="s">
        <v>118</v>
      </c>
      <c r="E66" s="39" t="str">
        <f t="shared" si="0"/>
        <v>62 - Pas-de-Calais</v>
      </c>
      <c r="F66" s="37">
        <v>64</v>
      </c>
      <c r="G66" s="38" t="s">
        <v>40</v>
      </c>
      <c r="H66" s="38" t="s">
        <v>44</v>
      </c>
      <c r="I66" s="38">
        <v>0</v>
      </c>
      <c r="J66" s="38">
        <f t="shared" si="1"/>
        <v>3</v>
      </c>
      <c r="K66" s="38">
        <f t="shared" si="2"/>
        <v>-7</v>
      </c>
      <c r="L66" s="38">
        <f t="shared" si="4"/>
        <v>-10</v>
      </c>
      <c r="M66" s="38">
        <v>-7</v>
      </c>
      <c r="N66" s="42">
        <v>-9</v>
      </c>
      <c r="O66" s="38">
        <v>-9</v>
      </c>
      <c r="P66" s="38">
        <v>-10</v>
      </c>
      <c r="Q66" s="38" t="s">
        <v>2</v>
      </c>
      <c r="R66" s="38" t="s">
        <v>2</v>
      </c>
      <c r="S66" s="38" t="s">
        <v>2</v>
      </c>
      <c r="T66" s="38" t="s">
        <v>2</v>
      </c>
      <c r="U66" s="38" t="s">
        <v>2</v>
      </c>
      <c r="V66" s="38" t="s">
        <v>2</v>
      </c>
      <c r="W66" s="38" t="s">
        <v>2</v>
      </c>
      <c r="X66" s="38" t="s">
        <v>2</v>
      </c>
      <c r="Y66" s="38" t="s">
        <v>2</v>
      </c>
      <c r="Z66" s="38" t="s">
        <v>2</v>
      </c>
      <c r="AA66" s="38" t="s">
        <v>2</v>
      </c>
      <c r="AB66" s="40">
        <v>5500</v>
      </c>
      <c r="AC66" s="76">
        <v>60400</v>
      </c>
      <c r="AD66" s="38"/>
      <c r="AE66" s="38"/>
      <c r="AF66" s="38">
        <v>69</v>
      </c>
      <c r="AG66" s="38"/>
      <c r="AH66" s="38">
        <f t="shared" si="3"/>
        <v>69</v>
      </c>
      <c r="AI66" s="38"/>
      <c r="AJ66" s="38">
        <v>5</v>
      </c>
      <c r="AK66" s="38" t="s">
        <v>38</v>
      </c>
      <c r="AL66" s="38">
        <v>1250</v>
      </c>
      <c r="AM66" s="41">
        <v>1</v>
      </c>
    </row>
    <row r="67" spans="2:39" x14ac:dyDescent="0.2">
      <c r="B67" s="37">
        <v>65</v>
      </c>
      <c r="C67" s="38">
        <v>63</v>
      </c>
      <c r="D67" s="38" t="s">
        <v>119</v>
      </c>
      <c r="E67" s="39" t="str">
        <f t="shared" si="0"/>
        <v>63 - Puy-de-Dôme</v>
      </c>
      <c r="F67" s="37">
        <v>65</v>
      </c>
      <c r="G67" s="38" t="s">
        <v>40</v>
      </c>
      <c r="H67" s="38" t="s">
        <v>41</v>
      </c>
      <c r="I67" s="38">
        <v>2</v>
      </c>
      <c r="J67" s="38">
        <f t="shared" si="1"/>
        <v>13</v>
      </c>
      <c r="K67" s="38">
        <f t="shared" si="2"/>
        <v>-8</v>
      </c>
      <c r="L67" s="38">
        <f t="shared" si="4"/>
        <v>-19</v>
      </c>
      <c r="M67" s="38" t="s">
        <v>2</v>
      </c>
      <c r="N67" s="42" t="s">
        <v>2</v>
      </c>
      <c r="O67" s="38">
        <v>-8</v>
      </c>
      <c r="P67" s="38">
        <v>-9</v>
      </c>
      <c r="Q67" s="38">
        <v>-10</v>
      </c>
      <c r="R67" s="38">
        <v>-11</v>
      </c>
      <c r="S67" s="38">
        <v>-12</v>
      </c>
      <c r="T67" s="38">
        <v>-13</v>
      </c>
      <c r="U67" s="38">
        <v>-14</v>
      </c>
      <c r="V67" s="38">
        <v>-15</v>
      </c>
      <c r="W67" s="38">
        <v>-16</v>
      </c>
      <c r="X67" s="38">
        <v>-17</v>
      </c>
      <c r="Y67" s="38">
        <v>-18</v>
      </c>
      <c r="Z67" s="38">
        <v>-19</v>
      </c>
      <c r="AA67" s="38" t="s">
        <v>2</v>
      </c>
      <c r="AB67" s="40">
        <v>4800</v>
      </c>
      <c r="AC67" s="76">
        <v>60000</v>
      </c>
      <c r="AD67" s="38"/>
      <c r="AE67" s="38"/>
      <c r="AF67" s="38">
        <v>83</v>
      </c>
      <c r="AG67" s="38"/>
      <c r="AH67" s="38">
        <f t="shared" si="3"/>
        <v>83</v>
      </c>
      <c r="AI67" s="38">
        <v>1.5</v>
      </c>
      <c r="AJ67" s="38"/>
      <c r="AK67" s="38" t="s">
        <v>42</v>
      </c>
      <c r="AL67" s="38">
        <v>1450</v>
      </c>
      <c r="AM67" s="41">
        <v>1.1000000000000001</v>
      </c>
    </row>
    <row r="68" spans="2:39" x14ac:dyDescent="0.2">
      <c r="B68" s="37">
        <v>66</v>
      </c>
      <c r="C68" s="38">
        <v>64</v>
      </c>
      <c r="D68" s="38" t="s">
        <v>120</v>
      </c>
      <c r="E68" s="39" t="str">
        <f t="shared" ref="E68:E99" si="5">C68&amp;" - "&amp;D68</f>
        <v>64 - Pyrénées Atlantiques</v>
      </c>
      <c r="F68" s="37">
        <v>66</v>
      </c>
      <c r="G68" s="38" t="s">
        <v>47</v>
      </c>
      <c r="H68" s="38" t="s">
        <v>41</v>
      </c>
      <c r="I68" s="38">
        <v>0</v>
      </c>
      <c r="J68" s="38">
        <f t="shared" ref="J68:J99" si="6">MATCH(L68,M68:AA68,0)-1</f>
        <v>14</v>
      </c>
      <c r="K68" s="38">
        <f t="shared" si="2"/>
        <v>-3</v>
      </c>
      <c r="L68" s="38">
        <f t="shared" si="4"/>
        <v>-12</v>
      </c>
      <c r="M68" s="38">
        <v>-3</v>
      </c>
      <c r="N68" s="42">
        <v>-4</v>
      </c>
      <c r="O68" s="38">
        <v>-5</v>
      </c>
      <c r="P68" s="38">
        <v>-6</v>
      </c>
      <c r="Q68" s="38">
        <v>-7</v>
      </c>
      <c r="R68" s="38">
        <v>-7</v>
      </c>
      <c r="S68" s="38">
        <v>-8</v>
      </c>
      <c r="T68" s="38">
        <v>-8</v>
      </c>
      <c r="U68" s="38">
        <v>-9</v>
      </c>
      <c r="V68" s="38">
        <v>-9</v>
      </c>
      <c r="W68" s="38">
        <v>-10</v>
      </c>
      <c r="X68" s="38">
        <v>-10</v>
      </c>
      <c r="Y68" s="38">
        <v>-11</v>
      </c>
      <c r="Z68" s="38">
        <v>-11</v>
      </c>
      <c r="AA68" s="38">
        <v>-12</v>
      </c>
      <c r="AB68" s="40">
        <v>4200</v>
      </c>
      <c r="AC68" s="76">
        <v>38400</v>
      </c>
      <c r="AD68" s="38"/>
      <c r="AE68" s="38"/>
      <c r="AF68" s="38">
        <v>98</v>
      </c>
      <c r="AG68" s="38"/>
      <c r="AH68" s="38">
        <f t="shared" si="3"/>
        <v>98</v>
      </c>
      <c r="AI68" s="38">
        <v>1.8</v>
      </c>
      <c r="AJ68" s="38">
        <v>5</v>
      </c>
      <c r="AK68" s="38" t="s">
        <v>53</v>
      </c>
      <c r="AL68" s="38">
        <v>1800</v>
      </c>
      <c r="AM68" s="41">
        <v>1.1000000000000001</v>
      </c>
    </row>
    <row r="69" spans="2:39" x14ac:dyDescent="0.2">
      <c r="B69" s="37">
        <v>67</v>
      </c>
      <c r="C69" s="38">
        <v>65</v>
      </c>
      <c r="D69" s="38" t="s">
        <v>121</v>
      </c>
      <c r="E69" s="39" t="str">
        <f t="shared" si="5"/>
        <v>65 - Hautes-Pyrénées</v>
      </c>
      <c r="F69" s="37">
        <v>67</v>
      </c>
      <c r="G69" s="38" t="s">
        <v>47</v>
      </c>
      <c r="H69" s="38" t="s">
        <v>41</v>
      </c>
      <c r="I69" s="38">
        <v>2</v>
      </c>
      <c r="J69" s="38">
        <f t="shared" si="6"/>
        <v>14</v>
      </c>
      <c r="K69" s="38">
        <f t="shared" ref="K69:K99" si="7">MAX(M69:AA69)</f>
        <v>-5</v>
      </c>
      <c r="L69" s="38">
        <f t="shared" si="4"/>
        <v>-12</v>
      </c>
      <c r="M69" s="38" t="s">
        <v>2</v>
      </c>
      <c r="N69" s="42" t="s">
        <v>2</v>
      </c>
      <c r="O69" s="38">
        <v>-5</v>
      </c>
      <c r="P69" s="38">
        <v>-6</v>
      </c>
      <c r="Q69" s="38">
        <v>-7</v>
      </c>
      <c r="R69" s="38">
        <v>-7</v>
      </c>
      <c r="S69" s="38">
        <v>-8</v>
      </c>
      <c r="T69" s="38">
        <v>-8</v>
      </c>
      <c r="U69" s="38">
        <v>-9</v>
      </c>
      <c r="V69" s="38">
        <v>-9</v>
      </c>
      <c r="W69" s="38">
        <v>-10</v>
      </c>
      <c r="X69" s="38">
        <v>-10</v>
      </c>
      <c r="Y69" s="38">
        <v>-11</v>
      </c>
      <c r="Z69" s="38">
        <v>-11</v>
      </c>
      <c r="AA69" s="38">
        <v>-12</v>
      </c>
      <c r="AB69" s="40">
        <v>4600</v>
      </c>
      <c r="AC69" s="76">
        <v>52500</v>
      </c>
      <c r="AD69" s="38"/>
      <c r="AE69" s="38"/>
      <c r="AF69" s="38">
        <v>98</v>
      </c>
      <c r="AG69" s="38"/>
      <c r="AH69" s="38">
        <f t="shared" ref="AH69:AH99" si="8">IF(AG69=0,AF69,(AF69+AG69)/2)</f>
        <v>98</v>
      </c>
      <c r="AI69" s="38">
        <v>1.5</v>
      </c>
      <c r="AJ69" s="38"/>
      <c r="AK69" s="38" t="s">
        <v>53</v>
      </c>
      <c r="AL69" s="38">
        <v>1800</v>
      </c>
      <c r="AM69" s="41">
        <v>1</v>
      </c>
    </row>
    <row r="70" spans="2:39" x14ac:dyDescent="0.2">
      <c r="B70" s="37">
        <v>68</v>
      </c>
      <c r="C70" s="38">
        <v>66</v>
      </c>
      <c r="D70" s="38" t="s">
        <v>122</v>
      </c>
      <c r="E70" s="39" t="str">
        <f t="shared" si="5"/>
        <v>66 - Pyrénées-orientales</v>
      </c>
      <c r="F70" s="37">
        <v>68</v>
      </c>
      <c r="G70" s="38" t="s">
        <v>55</v>
      </c>
      <c r="H70" s="38" t="s">
        <v>48</v>
      </c>
      <c r="I70" s="38">
        <v>0</v>
      </c>
      <c r="J70" s="38">
        <f t="shared" si="6"/>
        <v>14</v>
      </c>
      <c r="K70" s="38">
        <f t="shared" si="7"/>
        <v>-2</v>
      </c>
      <c r="L70" s="38">
        <f t="shared" si="4"/>
        <v>-12</v>
      </c>
      <c r="M70" s="38">
        <v>-2</v>
      </c>
      <c r="N70" s="42">
        <v>-4</v>
      </c>
      <c r="O70" s="38">
        <v>-5</v>
      </c>
      <c r="P70" s="38">
        <v>-6</v>
      </c>
      <c r="Q70" s="38">
        <v>-7</v>
      </c>
      <c r="R70" s="38">
        <v>-7</v>
      </c>
      <c r="S70" s="38">
        <v>-8</v>
      </c>
      <c r="T70" s="38">
        <v>-8</v>
      </c>
      <c r="U70" s="38">
        <v>-9</v>
      </c>
      <c r="V70" s="38">
        <v>-9</v>
      </c>
      <c r="W70" s="38">
        <v>-10</v>
      </c>
      <c r="X70" s="38">
        <v>-10</v>
      </c>
      <c r="Y70" s="38">
        <v>-11</v>
      </c>
      <c r="Z70" s="38">
        <v>-11</v>
      </c>
      <c r="AA70" s="38">
        <v>-12</v>
      </c>
      <c r="AB70" s="40">
        <v>3700</v>
      </c>
      <c r="AC70" s="76">
        <v>36000</v>
      </c>
      <c r="AD70" s="38" t="s">
        <v>64</v>
      </c>
      <c r="AE70" s="43" t="s">
        <v>65</v>
      </c>
      <c r="AF70" s="38">
        <v>140</v>
      </c>
      <c r="AG70" s="38">
        <v>127</v>
      </c>
      <c r="AH70" s="38">
        <f t="shared" si="8"/>
        <v>133.5</v>
      </c>
      <c r="AI70" s="38">
        <v>1.8</v>
      </c>
      <c r="AJ70" s="38">
        <v>5</v>
      </c>
      <c r="AK70" s="38" t="s">
        <v>49</v>
      </c>
      <c r="AL70" s="38">
        <v>2200</v>
      </c>
      <c r="AM70" s="41">
        <v>1.1000000000000001</v>
      </c>
    </row>
    <row r="71" spans="2:39" x14ac:dyDescent="0.2">
      <c r="B71" s="37">
        <v>69</v>
      </c>
      <c r="C71" s="38">
        <v>67</v>
      </c>
      <c r="D71" s="38" t="s">
        <v>123</v>
      </c>
      <c r="E71" s="39" t="str">
        <f t="shared" si="5"/>
        <v>67 - Bas-Rhin</v>
      </c>
      <c r="F71" s="37">
        <v>69</v>
      </c>
      <c r="G71" s="38" t="s">
        <v>40</v>
      </c>
      <c r="H71" s="38" t="s">
        <v>60</v>
      </c>
      <c r="I71" s="38">
        <v>2</v>
      </c>
      <c r="J71" s="38">
        <f t="shared" si="6"/>
        <v>8</v>
      </c>
      <c r="K71" s="38">
        <f t="shared" si="7"/>
        <v>-15</v>
      </c>
      <c r="L71" s="38">
        <f t="shared" ref="L71:L99" si="9">MIN(M71:AA71)</f>
        <v>-20</v>
      </c>
      <c r="M71" s="38" t="s">
        <v>2</v>
      </c>
      <c r="N71" s="42" t="s">
        <v>2</v>
      </c>
      <c r="O71" s="38">
        <v>-15</v>
      </c>
      <c r="P71" s="38">
        <v>-15</v>
      </c>
      <c r="Q71" s="38">
        <v>-16</v>
      </c>
      <c r="R71" s="38">
        <v>-17</v>
      </c>
      <c r="S71" s="38">
        <v>-18</v>
      </c>
      <c r="T71" s="38">
        <v>-19</v>
      </c>
      <c r="U71" s="38">
        <v>-20</v>
      </c>
      <c r="V71" s="38" t="s">
        <v>2</v>
      </c>
      <c r="W71" s="38" t="s">
        <v>2</v>
      </c>
      <c r="X71" s="38" t="s">
        <v>2</v>
      </c>
      <c r="Y71" s="38" t="s">
        <v>2</v>
      </c>
      <c r="Z71" s="38" t="s">
        <v>2</v>
      </c>
      <c r="AA71" s="38" t="s">
        <v>2</v>
      </c>
      <c r="AB71" s="40">
        <v>5200</v>
      </c>
      <c r="AC71" s="76">
        <v>64800</v>
      </c>
      <c r="AD71" s="38"/>
      <c r="AE71" s="38"/>
      <c r="AF71" s="38">
        <v>66</v>
      </c>
      <c r="AG71" s="38"/>
      <c r="AH71" s="38">
        <f t="shared" si="8"/>
        <v>66</v>
      </c>
      <c r="AI71" s="38">
        <v>1.5</v>
      </c>
      <c r="AJ71" s="38"/>
      <c r="AK71" s="38" t="s">
        <v>38</v>
      </c>
      <c r="AL71" s="38">
        <v>1250</v>
      </c>
      <c r="AM71" s="41">
        <v>1</v>
      </c>
    </row>
    <row r="72" spans="2:39" x14ac:dyDescent="0.2">
      <c r="B72" s="37">
        <v>70</v>
      </c>
      <c r="C72" s="38">
        <v>68</v>
      </c>
      <c r="D72" s="38" t="s">
        <v>124</v>
      </c>
      <c r="E72" s="39" t="str">
        <f t="shared" si="5"/>
        <v>68 - Haut-Rhin</v>
      </c>
      <c r="F72" s="37">
        <v>70</v>
      </c>
      <c r="G72" s="38" t="s">
        <v>40</v>
      </c>
      <c r="H72" s="38" t="s">
        <v>60</v>
      </c>
      <c r="I72" s="38">
        <v>2</v>
      </c>
      <c r="J72" s="38">
        <f t="shared" si="6"/>
        <v>8</v>
      </c>
      <c r="K72" s="38">
        <f t="shared" si="7"/>
        <v>-15</v>
      </c>
      <c r="L72" s="38">
        <f t="shared" si="9"/>
        <v>-20</v>
      </c>
      <c r="M72" s="38" t="s">
        <v>2</v>
      </c>
      <c r="N72" s="42" t="s">
        <v>2</v>
      </c>
      <c r="O72" s="38">
        <v>-15</v>
      </c>
      <c r="P72" s="38">
        <v>-15</v>
      </c>
      <c r="Q72" s="38">
        <v>-16</v>
      </c>
      <c r="R72" s="38">
        <v>-17</v>
      </c>
      <c r="S72" s="38">
        <v>-18</v>
      </c>
      <c r="T72" s="38">
        <v>-19</v>
      </c>
      <c r="U72" s="38">
        <v>-20</v>
      </c>
      <c r="V72" s="38" t="s">
        <v>2</v>
      </c>
      <c r="W72" s="38" t="s">
        <v>2</v>
      </c>
      <c r="X72" s="38" t="s">
        <v>2</v>
      </c>
      <c r="Y72" s="38" t="s">
        <v>2</v>
      </c>
      <c r="Z72" s="38" t="s">
        <v>2</v>
      </c>
      <c r="AA72" s="38" t="s">
        <v>2</v>
      </c>
      <c r="AB72" s="40">
        <v>5300</v>
      </c>
      <c r="AC72" s="76">
        <v>64000</v>
      </c>
      <c r="AD72" s="38"/>
      <c r="AE72" s="38"/>
      <c r="AF72" s="38">
        <v>69</v>
      </c>
      <c r="AG72" s="38"/>
      <c r="AH72" s="38">
        <f t="shared" si="8"/>
        <v>69</v>
      </c>
      <c r="AI72" s="38">
        <v>1.5</v>
      </c>
      <c r="AJ72" s="38"/>
      <c r="AK72" s="38" t="s">
        <v>38</v>
      </c>
      <c r="AL72" s="38">
        <v>1250</v>
      </c>
      <c r="AM72" s="41">
        <v>1</v>
      </c>
    </row>
    <row r="73" spans="2:39" x14ac:dyDescent="0.2">
      <c r="B73" s="37">
        <v>71</v>
      </c>
      <c r="C73" s="38">
        <v>69</v>
      </c>
      <c r="D73" s="38" t="s">
        <v>125</v>
      </c>
      <c r="E73" s="39" t="str">
        <f t="shared" si="5"/>
        <v>69 - Rhône</v>
      </c>
      <c r="F73" s="37">
        <v>71</v>
      </c>
      <c r="G73" s="38" t="s">
        <v>40</v>
      </c>
      <c r="H73" s="38" t="s">
        <v>41</v>
      </c>
      <c r="I73" s="38">
        <v>2</v>
      </c>
      <c r="J73" s="38">
        <f t="shared" si="6"/>
        <v>12</v>
      </c>
      <c r="K73" s="38">
        <f t="shared" si="7"/>
        <v>-10</v>
      </c>
      <c r="L73" s="38">
        <f t="shared" si="9"/>
        <v>-20</v>
      </c>
      <c r="M73" s="38" t="s">
        <v>2</v>
      </c>
      <c r="N73" s="42" t="s">
        <v>2</v>
      </c>
      <c r="O73" s="38">
        <v>-10</v>
      </c>
      <c r="P73" s="38">
        <v>-11</v>
      </c>
      <c r="Q73" s="38">
        <v>-12</v>
      </c>
      <c r="R73" s="38">
        <v>-13</v>
      </c>
      <c r="S73" s="38">
        <v>-14</v>
      </c>
      <c r="T73" s="38">
        <v>-15</v>
      </c>
      <c r="U73" s="38">
        <v>-16</v>
      </c>
      <c r="V73" s="38">
        <v>-17</v>
      </c>
      <c r="W73" s="38">
        <v>-18</v>
      </c>
      <c r="X73" s="38">
        <v>-19</v>
      </c>
      <c r="Y73" s="38">
        <v>-20</v>
      </c>
      <c r="Z73" s="38" t="s">
        <v>2</v>
      </c>
      <c r="AA73" s="38" t="s">
        <v>2</v>
      </c>
      <c r="AB73" s="40">
        <v>4900</v>
      </c>
      <c r="AC73" s="76">
        <v>58800</v>
      </c>
      <c r="AD73" s="38"/>
      <c r="AE73" s="38"/>
      <c r="AF73" s="38">
        <v>80</v>
      </c>
      <c r="AG73" s="38"/>
      <c r="AH73" s="38">
        <f t="shared" si="8"/>
        <v>80</v>
      </c>
      <c r="AI73" s="38">
        <v>1.5</v>
      </c>
      <c r="AJ73" s="38"/>
      <c r="AK73" s="38" t="s">
        <v>42</v>
      </c>
      <c r="AL73" s="38">
        <v>1450</v>
      </c>
      <c r="AM73" s="41">
        <v>1</v>
      </c>
    </row>
    <row r="74" spans="2:39" x14ac:dyDescent="0.2">
      <c r="B74" s="37">
        <v>72</v>
      </c>
      <c r="C74" s="38">
        <v>70</v>
      </c>
      <c r="D74" s="38" t="s">
        <v>126</v>
      </c>
      <c r="E74" s="39" t="str">
        <f t="shared" si="5"/>
        <v>70 - Haute-Saône</v>
      </c>
      <c r="F74" s="37">
        <v>72</v>
      </c>
      <c r="G74" s="38" t="s">
        <v>40</v>
      </c>
      <c r="H74" s="38" t="s">
        <v>60</v>
      </c>
      <c r="I74" s="38">
        <v>2</v>
      </c>
      <c r="J74" s="38">
        <f t="shared" si="6"/>
        <v>12</v>
      </c>
      <c r="K74" s="38">
        <f t="shared" si="7"/>
        <v>-10</v>
      </c>
      <c r="L74" s="38">
        <f t="shared" si="9"/>
        <v>-20</v>
      </c>
      <c r="M74" s="38" t="s">
        <v>2</v>
      </c>
      <c r="N74" s="42" t="s">
        <v>2</v>
      </c>
      <c r="O74" s="38">
        <v>-10</v>
      </c>
      <c r="P74" s="38">
        <v>-11</v>
      </c>
      <c r="Q74" s="38">
        <v>-12</v>
      </c>
      <c r="R74" s="38">
        <v>-13</v>
      </c>
      <c r="S74" s="38">
        <v>-14</v>
      </c>
      <c r="T74" s="38">
        <v>-15</v>
      </c>
      <c r="U74" s="38">
        <v>-16</v>
      </c>
      <c r="V74" s="38">
        <v>-17</v>
      </c>
      <c r="W74" s="38">
        <v>-18</v>
      </c>
      <c r="X74" s="38">
        <v>-19</v>
      </c>
      <c r="Y74" s="38">
        <v>-20</v>
      </c>
      <c r="Z74" s="38" t="s">
        <v>2</v>
      </c>
      <c r="AA74" s="38" t="s">
        <v>2</v>
      </c>
      <c r="AB74" s="40">
        <v>5300</v>
      </c>
      <c r="AC74" s="76">
        <v>65000</v>
      </c>
      <c r="AD74" s="38"/>
      <c r="AE74" s="38"/>
      <c r="AF74" s="38">
        <v>71</v>
      </c>
      <c r="AG74" s="38"/>
      <c r="AH74" s="38">
        <f t="shared" si="8"/>
        <v>71</v>
      </c>
      <c r="AI74" s="38">
        <v>1.5</v>
      </c>
      <c r="AJ74" s="38"/>
      <c r="AK74" s="38" t="s">
        <v>38</v>
      </c>
      <c r="AL74" s="38">
        <v>1250</v>
      </c>
      <c r="AM74" s="41">
        <v>1</v>
      </c>
    </row>
    <row r="75" spans="2:39" x14ac:dyDescent="0.2">
      <c r="B75" s="37">
        <v>73</v>
      </c>
      <c r="C75" s="38">
        <v>71</v>
      </c>
      <c r="D75" s="38" t="s">
        <v>127</v>
      </c>
      <c r="E75" s="39" t="str">
        <f t="shared" si="5"/>
        <v>71 - Saône-et-Loire</v>
      </c>
      <c r="F75" s="37">
        <v>73</v>
      </c>
      <c r="G75" s="38" t="s">
        <v>40</v>
      </c>
      <c r="H75" s="38" t="s">
        <v>41</v>
      </c>
      <c r="I75" s="38">
        <v>2</v>
      </c>
      <c r="J75" s="38">
        <f t="shared" si="6"/>
        <v>12</v>
      </c>
      <c r="K75" s="38">
        <f t="shared" si="7"/>
        <v>-10</v>
      </c>
      <c r="L75" s="38">
        <f t="shared" si="9"/>
        <v>-20</v>
      </c>
      <c r="M75" s="38" t="s">
        <v>2</v>
      </c>
      <c r="N75" s="42" t="s">
        <v>2</v>
      </c>
      <c r="O75" s="38">
        <v>-10</v>
      </c>
      <c r="P75" s="38">
        <v>-11</v>
      </c>
      <c r="Q75" s="38">
        <v>-12</v>
      </c>
      <c r="R75" s="38">
        <v>-13</v>
      </c>
      <c r="S75" s="38">
        <v>-14</v>
      </c>
      <c r="T75" s="38">
        <v>-15</v>
      </c>
      <c r="U75" s="38">
        <v>-16</v>
      </c>
      <c r="V75" s="38">
        <v>-17</v>
      </c>
      <c r="W75" s="38">
        <v>-18</v>
      </c>
      <c r="X75" s="38">
        <v>-19</v>
      </c>
      <c r="Y75" s="38">
        <v>-20</v>
      </c>
      <c r="Z75" s="38" t="s">
        <v>2</v>
      </c>
      <c r="AA75" s="38" t="s">
        <v>2</v>
      </c>
      <c r="AB75" s="40">
        <v>5200</v>
      </c>
      <c r="AC75" s="76">
        <v>62400</v>
      </c>
      <c r="AD75" s="38"/>
      <c r="AE75" s="38"/>
      <c r="AF75" s="38">
        <v>74</v>
      </c>
      <c r="AG75" s="38"/>
      <c r="AH75" s="38">
        <f t="shared" si="8"/>
        <v>74</v>
      </c>
      <c r="AI75" s="38">
        <v>1.5</v>
      </c>
      <c r="AJ75" s="38"/>
      <c r="AK75" s="38" t="s">
        <v>42</v>
      </c>
      <c r="AL75" s="38">
        <v>1450</v>
      </c>
      <c r="AM75" s="41">
        <v>1</v>
      </c>
    </row>
    <row r="76" spans="2:39" x14ac:dyDescent="0.2">
      <c r="B76" s="37">
        <v>74</v>
      </c>
      <c r="C76" s="38">
        <v>72</v>
      </c>
      <c r="D76" s="38" t="s">
        <v>128</v>
      </c>
      <c r="E76" s="39" t="str">
        <f t="shared" si="5"/>
        <v>72 - Sarthe</v>
      </c>
      <c r="F76" s="37">
        <v>74</v>
      </c>
      <c r="G76" s="38" t="s">
        <v>47</v>
      </c>
      <c r="H76" s="38" t="s">
        <v>60</v>
      </c>
      <c r="I76" s="38">
        <v>2</v>
      </c>
      <c r="J76" s="38">
        <f t="shared" si="6"/>
        <v>3</v>
      </c>
      <c r="K76" s="38">
        <f t="shared" si="7"/>
        <v>-7</v>
      </c>
      <c r="L76" s="38">
        <f t="shared" si="9"/>
        <v>-8</v>
      </c>
      <c r="M76" s="38" t="s">
        <v>2</v>
      </c>
      <c r="N76" s="42" t="s">
        <v>2</v>
      </c>
      <c r="O76" s="38">
        <v>-7</v>
      </c>
      <c r="P76" s="38">
        <v>-8</v>
      </c>
      <c r="Q76" s="38" t="s">
        <v>2</v>
      </c>
      <c r="R76" s="38" t="s">
        <v>2</v>
      </c>
      <c r="S76" s="38" t="s">
        <v>2</v>
      </c>
      <c r="T76" s="38" t="s">
        <v>2</v>
      </c>
      <c r="U76" s="38" t="s">
        <v>2</v>
      </c>
      <c r="V76" s="38" t="s">
        <v>2</v>
      </c>
      <c r="W76" s="38" t="s">
        <v>2</v>
      </c>
      <c r="X76" s="38" t="s">
        <v>2</v>
      </c>
      <c r="Y76" s="38" t="s">
        <v>2</v>
      </c>
      <c r="Z76" s="38" t="s">
        <v>2</v>
      </c>
      <c r="AA76" s="38" t="s">
        <v>2</v>
      </c>
      <c r="AB76" s="40">
        <v>5300</v>
      </c>
      <c r="AC76" s="76">
        <v>57000</v>
      </c>
      <c r="AD76" s="38"/>
      <c r="AE76" s="38"/>
      <c r="AF76" s="38">
        <v>82</v>
      </c>
      <c r="AG76" s="38"/>
      <c r="AH76" s="38">
        <f t="shared" si="8"/>
        <v>82</v>
      </c>
      <c r="AI76" s="38"/>
      <c r="AJ76" s="38"/>
      <c r="AK76" s="38" t="s">
        <v>42</v>
      </c>
      <c r="AL76" s="38">
        <v>1450</v>
      </c>
      <c r="AM76" s="41">
        <v>1</v>
      </c>
    </row>
    <row r="77" spans="2:39" x14ac:dyDescent="0.2">
      <c r="B77" s="37">
        <v>75</v>
      </c>
      <c r="C77" s="38">
        <v>73</v>
      </c>
      <c r="D77" s="38" t="s">
        <v>129</v>
      </c>
      <c r="E77" s="39" t="str">
        <f t="shared" si="5"/>
        <v>73 - Savoie</v>
      </c>
      <c r="F77" s="37">
        <v>75</v>
      </c>
      <c r="G77" s="38" t="s">
        <v>40</v>
      </c>
      <c r="H77" s="38" t="s">
        <v>41</v>
      </c>
      <c r="I77" s="38">
        <v>2</v>
      </c>
      <c r="J77" s="38">
        <f t="shared" si="6"/>
        <v>12</v>
      </c>
      <c r="K77" s="38">
        <f t="shared" si="7"/>
        <v>-10</v>
      </c>
      <c r="L77" s="38">
        <f t="shared" si="9"/>
        <v>-20</v>
      </c>
      <c r="M77" s="38" t="s">
        <v>2</v>
      </c>
      <c r="N77" s="42" t="s">
        <v>2</v>
      </c>
      <c r="O77" s="38">
        <v>-10</v>
      </c>
      <c r="P77" s="38">
        <v>-11</v>
      </c>
      <c r="Q77" s="38">
        <v>-12</v>
      </c>
      <c r="R77" s="38">
        <v>-13</v>
      </c>
      <c r="S77" s="38">
        <v>-14</v>
      </c>
      <c r="T77" s="38">
        <v>-15</v>
      </c>
      <c r="U77" s="38">
        <v>-16</v>
      </c>
      <c r="V77" s="38">
        <v>-17</v>
      </c>
      <c r="W77" s="38">
        <v>-18</v>
      </c>
      <c r="X77" s="38">
        <v>-19</v>
      </c>
      <c r="Y77" s="38">
        <v>-20</v>
      </c>
      <c r="Z77" s="38" t="s">
        <v>2</v>
      </c>
      <c r="AA77" s="38" t="s">
        <v>2</v>
      </c>
      <c r="AB77" s="40">
        <v>4600</v>
      </c>
      <c r="AC77" s="76">
        <v>67100</v>
      </c>
      <c r="AD77" s="38"/>
      <c r="AE77" s="38"/>
      <c r="AF77" s="38">
        <v>100</v>
      </c>
      <c r="AG77" s="38"/>
      <c r="AH77" s="38">
        <f t="shared" si="8"/>
        <v>100</v>
      </c>
      <c r="AI77" s="38">
        <v>1.5</v>
      </c>
      <c r="AJ77" s="38"/>
      <c r="AK77" s="38" t="s">
        <v>42</v>
      </c>
      <c r="AL77" s="38">
        <v>1450</v>
      </c>
      <c r="AM77" s="41">
        <v>1.1000000000000001</v>
      </c>
    </row>
    <row r="78" spans="2:39" x14ac:dyDescent="0.2">
      <c r="B78" s="37">
        <v>76</v>
      </c>
      <c r="C78" s="38">
        <v>74</v>
      </c>
      <c r="D78" s="38" t="s">
        <v>130</v>
      </c>
      <c r="E78" s="39" t="str">
        <f t="shared" si="5"/>
        <v>74 - Haute-Savoie</v>
      </c>
      <c r="F78" s="37">
        <v>76</v>
      </c>
      <c r="G78" s="38" t="s">
        <v>40</v>
      </c>
      <c r="H78" s="38" t="s">
        <v>41</v>
      </c>
      <c r="I78" s="38">
        <v>2</v>
      </c>
      <c r="J78" s="38">
        <f t="shared" si="6"/>
        <v>12</v>
      </c>
      <c r="K78" s="38">
        <f t="shared" si="7"/>
        <v>-10</v>
      </c>
      <c r="L78" s="38">
        <f t="shared" si="9"/>
        <v>-20</v>
      </c>
      <c r="M78" s="38" t="s">
        <v>2</v>
      </c>
      <c r="N78" s="42" t="s">
        <v>2</v>
      </c>
      <c r="O78" s="38">
        <v>-10</v>
      </c>
      <c r="P78" s="38">
        <v>-11</v>
      </c>
      <c r="Q78" s="38">
        <v>-12</v>
      </c>
      <c r="R78" s="38">
        <v>-13</v>
      </c>
      <c r="S78" s="38">
        <v>-14</v>
      </c>
      <c r="T78" s="38">
        <v>-15</v>
      </c>
      <c r="U78" s="38">
        <v>-16</v>
      </c>
      <c r="V78" s="38">
        <v>-17</v>
      </c>
      <c r="W78" s="38">
        <v>-18</v>
      </c>
      <c r="X78" s="38">
        <v>-19</v>
      </c>
      <c r="Y78" s="38">
        <v>-20</v>
      </c>
      <c r="Z78" s="38" t="s">
        <v>2</v>
      </c>
      <c r="AA78" s="38" t="s">
        <v>2</v>
      </c>
      <c r="AB78" s="40">
        <v>4900</v>
      </c>
      <c r="AC78" s="76">
        <v>64100</v>
      </c>
      <c r="AD78" s="38"/>
      <c r="AE78" s="38"/>
      <c r="AF78" s="38">
        <v>80</v>
      </c>
      <c r="AG78" s="38"/>
      <c r="AH78" s="38">
        <f t="shared" si="8"/>
        <v>80</v>
      </c>
      <c r="AI78" s="38">
        <v>1.5</v>
      </c>
      <c r="AJ78" s="38"/>
      <c r="AK78" s="38" t="s">
        <v>42</v>
      </c>
      <c r="AL78" s="38">
        <v>1450</v>
      </c>
      <c r="AM78" s="41">
        <v>1</v>
      </c>
    </row>
    <row r="79" spans="2:39" x14ac:dyDescent="0.2">
      <c r="B79" s="37">
        <v>77</v>
      </c>
      <c r="C79" s="38">
        <v>75</v>
      </c>
      <c r="D79" s="38" t="s">
        <v>131</v>
      </c>
      <c r="E79" s="39" t="str">
        <f t="shared" si="5"/>
        <v>75 - Paris</v>
      </c>
      <c r="F79" s="37">
        <v>77</v>
      </c>
      <c r="G79" s="38" t="s">
        <v>40</v>
      </c>
      <c r="H79" s="38" t="s">
        <v>60</v>
      </c>
      <c r="I79" s="38">
        <v>2</v>
      </c>
      <c r="J79" s="38">
        <f t="shared" si="6"/>
        <v>2</v>
      </c>
      <c r="K79" s="38">
        <f t="shared" si="7"/>
        <v>-5</v>
      </c>
      <c r="L79" s="38">
        <f t="shared" si="9"/>
        <v>-5</v>
      </c>
      <c r="M79" s="38" t="s">
        <v>2</v>
      </c>
      <c r="N79" s="42" t="s">
        <v>2</v>
      </c>
      <c r="O79" s="38">
        <v>-5</v>
      </c>
      <c r="P79" s="38" t="s">
        <v>2</v>
      </c>
      <c r="Q79" s="38" t="s">
        <v>2</v>
      </c>
      <c r="R79" s="38" t="s">
        <v>2</v>
      </c>
      <c r="S79" s="38" t="s">
        <v>2</v>
      </c>
      <c r="T79" s="38" t="s">
        <v>2</v>
      </c>
      <c r="U79" s="38" t="s">
        <v>2</v>
      </c>
      <c r="V79" s="38" t="s">
        <v>2</v>
      </c>
      <c r="W79" s="38" t="s">
        <v>2</v>
      </c>
      <c r="X79" s="38" t="s">
        <v>2</v>
      </c>
      <c r="Y79" s="38" t="s">
        <v>2</v>
      </c>
      <c r="Z79" s="38" t="s">
        <v>2</v>
      </c>
      <c r="AA79" s="38" t="s">
        <v>2</v>
      </c>
      <c r="AB79" s="40">
        <v>5100</v>
      </c>
      <c r="AC79" s="76">
        <v>55000</v>
      </c>
      <c r="AD79" s="38"/>
      <c r="AE79" s="38"/>
      <c r="AF79" s="38">
        <v>66</v>
      </c>
      <c r="AG79" s="38"/>
      <c r="AH79" s="38">
        <f t="shared" si="8"/>
        <v>66</v>
      </c>
      <c r="AI79" s="38"/>
      <c r="AJ79" s="38"/>
      <c r="AK79" s="38" t="s">
        <v>38</v>
      </c>
      <c r="AL79" s="38">
        <v>1250</v>
      </c>
      <c r="AM79" s="41">
        <v>1</v>
      </c>
    </row>
    <row r="80" spans="2:39" x14ac:dyDescent="0.2">
      <c r="B80" s="37">
        <v>78</v>
      </c>
      <c r="C80" s="38">
        <v>76</v>
      </c>
      <c r="D80" s="38" t="s">
        <v>132</v>
      </c>
      <c r="E80" s="39" t="str">
        <f t="shared" si="5"/>
        <v>76 - Seine-Maritime</v>
      </c>
      <c r="F80" s="37">
        <v>78</v>
      </c>
      <c r="G80" s="38" t="s">
        <v>40</v>
      </c>
      <c r="H80" s="38" t="s">
        <v>44</v>
      </c>
      <c r="I80" s="38">
        <v>0</v>
      </c>
      <c r="J80" s="38">
        <f t="shared" si="6"/>
        <v>3</v>
      </c>
      <c r="K80" s="38">
        <f t="shared" si="7"/>
        <v>-5</v>
      </c>
      <c r="L80" s="38">
        <f t="shared" si="9"/>
        <v>-8</v>
      </c>
      <c r="M80" s="38">
        <v>-5</v>
      </c>
      <c r="N80" s="42">
        <v>-7</v>
      </c>
      <c r="O80" s="38">
        <v>-7</v>
      </c>
      <c r="P80" s="38">
        <v>-8</v>
      </c>
      <c r="Q80" s="38" t="s">
        <v>2</v>
      </c>
      <c r="R80" s="38" t="s">
        <v>2</v>
      </c>
      <c r="S80" s="38" t="s">
        <v>2</v>
      </c>
      <c r="T80" s="38" t="s">
        <v>2</v>
      </c>
      <c r="U80" s="38" t="s">
        <v>2</v>
      </c>
      <c r="V80" s="38" t="s">
        <v>2</v>
      </c>
      <c r="W80" s="38" t="s">
        <v>2</v>
      </c>
      <c r="X80" s="38" t="s">
        <v>2</v>
      </c>
      <c r="Y80" s="38" t="s">
        <v>2</v>
      </c>
      <c r="Z80" s="38" t="s">
        <v>2</v>
      </c>
      <c r="AA80" s="38" t="s">
        <v>2</v>
      </c>
      <c r="AB80" s="40">
        <v>5500</v>
      </c>
      <c r="AC80" s="76">
        <v>58000</v>
      </c>
      <c r="AD80" s="38"/>
      <c r="AE80" s="38"/>
      <c r="AF80" s="38">
        <v>76</v>
      </c>
      <c r="AG80" s="38"/>
      <c r="AH80" s="38">
        <f t="shared" si="8"/>
        <v>76</v>
      </c>
      <c r="AI80" s="38"/>
      <c r="AJ80" s="38">
        <v>5</v>
      </c>
      <c r="AK80" s="38" t="s">
        <v>38</v>
      </c>
      <c r="AL80" s="38">
        <v>1250</v>
      </c>
      <c r="AM80" s="41">
        <v>1</v>
      </c>
    </row>
    <row r="81" spans="2:39" x14ac:dyDescent="0.2">
      <c r="B81" s="37">
        <v>79</v>
      </c>
      <c r="C81" s="38">
        <v>77</v>
      </c>
      <c r="D81" s="38" t="s">
        <v>133</v>
      </c>
      <c r="E81" s="39" t="str">
        <f t="shared" si="5"/>
        <v>77 - Seine-et-Marne</v>
      </c>
      <c r="F81" s="37">
        <v>79</v>
      </c>
      <c r="G81" s="38" t="s">
        <v>40</v>
      </c>
      <c r="H81" s="38" t="s">
        <v>60</v>
      </c>
      <c r="I81" s="38">
        <v>2</v>
      </c>
      <c r="J81" s="38">
        <f t="shared" si="6"/>
        <v>3</v>
      </c>
      <c r="K81" s="38">
        <f t="shared" si="7"/>
        <v>-7</v>
      </c>
      <c r="L81" s="38">
        <f t="shared" si="9"/>
        <v>-8</v>
      </c>
      <c r="M81" s="38" t="s">
        <v>2</v>
      </c>
      <c r="N81" s="42" t="s">
        <v>2</v>
      </c>
      <c r="O81" s="38">
        <v>-7</v>
      </c>
      <c r="P81" s="38">
        <v>-8</v>
      </c>
      <c r="Q81" s="38" t="s">
        <v>2</v>
      </c>
      <c r="R81" s="38" t="s">
        <v>2</v>
      </c>
      <c r="S81" s="38" t="s">
        <v>2</v>
      </c>
      <c r="T81" s="38" t="s">
        <v>2</v>
      </c>
      <c r="U81" s="38" t="s">
        <v>2</v>
      </c>
      <c r="V81" s="38" t="s">
        <v>2</v>
      </c>
      <c r="W81" s="38" t="s">
        <v>2</v>
      </c>
      <c r="X81" s="38" t="s">
        <v>2</v>
      </c>
      <c r="Y81" s="38" t="s">
        <v>2</v>
      </c>
      <c r="Z81" s="38" t="s">
        <v>2</v>
      </c>
      <c r="AA81" s="38" t="s">
        <v>2</v>
      </c>
      <c r="AB81" s="40">
        <v>5500</v>
      </c>
      <c r="AC81" s="76">
        <v>60000</v>
      </c>
      <c r="AD81" s="38"/>
      <c r="AE81" s="38"/>
      <c r="AF81" s="38">
        <v>72</v>
      </c>
      <c r="AG81" s="38"/>
      <c r="AH81" s="38">
        <f t="shared" si="8"/>
        <v>72</v>
      </c>
      <c r="AI81" s="38"/>
      <c r="AJ81" s="38"/>
      <c r="AK81" s="38" t="s">
        <v>38</v>
      </c>
      <c r="AL81" s="38">
        <v>1250</v>
      </c>
      <c r="AM81" s="41">
        <v>1</v>
      </c>
    </row>
    <row r="82" spans="2:39" x14ac:dyDescent="0.2">
      <c r="B82" s="37">
        <v>80</v>
      </c>
      <c r="C82" s="38">
        <v>78</v>
      </c>
      <c r="D82" s="38" t="s">
        <v>134</v>
      </c>
      <c r="E82" s="39" t="str">
        <f t="shared" si="5"/>
        <v>78 - Yvelines</v>
      </c>
      <c r="F82" s="37">
        <v>80</v>
      </c>
      <c r="G82" s="38" t="s">
        <v>40</v>
      </c>
      <c r="H82" s="38" t="s">
        <v>60</v>
      </c>
      <c r="I82" s="38">
        <v>2</v>
      </c>
      <c r="J82" s="38">
        <f t="shared" si="6"/>
        <v>2</v>
      </c>
      <c r="K82" s="38">
        <f t="shared" si="7"/>
        <v>-7</v>
      </c>
      <c r="L82" s="38">
        <f t="shared" si="9"/>
        <v>-7</v>
      </c>
      <c r="M82" s="38" t="s">
        <v>2</v>
      </c>
      <c r="N82" s="42" t="s">
        <v>2</v>
      </c>
      <c r="O82" s="38">
        <v>-7</v>
      </c>
      <c r="P82" s="38" t="s">
        <v>2</v>
      </c>
      <c r="Q82" s="38" t="s">
        <v>2</v>
      </c>
      <c r="R82" s="38" t="s">
        <v>2</v>
      </c>
      <c r="S82" s="38" t="s">
        <v>2</v>
      </c>
      <c r="T82" s="38" t="s">
        <v>2</v>
      </c>
      <c r="U82" s="38" t="s">
        <v>2</v>
      </c>
      <c r="V82" s="38" t="s">
        <v>2</v>
      </c>
      <c r="W82" s="38" t="s">
        <v>2</v>
      </c>
      <c r="X82" s="38" t="s">
        <v>2</v>
      </c>
      <c r="Y82" s="38" t="s">
        <v>2</v>
      </c>
      <c r="Z82" s="38" t="s">
        <v>2</v>
      </c>
      <c r="AA82" s="38" t="s">
        <v>2</v>
      </c>
      <c r="AB82" s="40">
        <v>5800</v>
      </c>
      <c r="AC82" s="76">
        <v>63100</v>
      </c>
      <c r="AD82" s="38"/>
      <c r="AE82" s="38"/>
      <c r="AF82" s="38">
        <v>72</v>
      </c>
      <c r="AG82" s="38"/>
      <c r="AH82" s="38">
        <f t="shared" si="8"/>
        <v>72</v>
      </c>
      <c r="AI82" s="38"/>
      <c r="AJ82" s="38"/>
      <c r="AK82" s="38" t="s">
        <v>38</v>
      </c>
      <c r="AL82" s="38">
        <v>1250</v>
      </c>
      <c r="AM82" s="41">
        <v>1</v>
      </c>
    </row>
    <row r="83" spans="2:39" x14ac:dyDescent="0.2">
      <c r="B83" s="37">
        <v>81</v>
      </c>
      <c r="C83" s="38">
        <v>79</v>
      </c>
      <c r="D83" s="38" t="s">
        <v>135</v>
      </c>
      <c r="E83" s="39" t="str">
        <f t="shared" si="5"/>
        <v>79 - Deux-Sèvres</v>
      </c>
      <c r="F83" s="37">
        <v>81</v>
      </c>
      <c r="G83" s="38" t="s">
        <v>47</v>
      </c>
      <c r="H83" s="38" t="s">
        <v>60</v>
      </c>
      <c r="I83" s="38">
        <v>2</v>
      </c>
      <c r="J83" s="38">
        <f t="shared" si="6"/>
        <v>3</v>
      </c>
      <c r="K83" s="38">
        <f t="shared" si="7"/>
        <v>-7</v>
      </c>
      <c r="L83" s="38">
        <f t="shared" si="9"/>
        <v>-8</v>
      </c>
      <c r="M83" s="38" t="s">
        <v>2</v>
      </c>
      <c r="N83" s="42" t="s">
        <v>2</v>
      </c>
      <c r="O83" s="38">
        <v>-7</v>
      </c>
      <c r="P83" s="38">
        <v>-8</v>
      </c>
      <c r="Q83" s="38" t="s">
        <v>2</v>
      </c>
      <c r="R83" s="38" t="s">
        <v>2</v>
      </c>
      <c r="S83" s="38" t="s">
        <v>2</v>
      </c>
      <c r="T83" s="38" t="s">
        <v>2</v>
      </c>
      <c r="U83" s="38" t="s">
        <v>2</v>
      </c>
      <c r="V83" s="38" t="s">
        <v>2</v>
      </c>
      <c r="W83" s="38" t="s">
        <v>2</v>
      </c>
      <c r="X83" s="38" t="s">
        <v>2</v>
      </c>
      <c r="Y83" s="38" t="s">
        <v>2</v>
      </c>
      <c r="Z83" s="38" t="s">
        <v>2</v>
      </c>
      <c r="AA83" s="38" t="s">
        <v>2</v>
      </c>
      <c r="AB83" s="40">
        <v>5300</v>
      </c>
      <c r="AC83" s="76">
        <v>50400</v>
      </c>
      <c r="AD83" s="38"/>
      <c r="AE83" s="38"/>
      <c r="AF83" s="38">
        <v>85</v>
      </c>
      <c r="AG83" s="38"/>
      <c r="AH83" s="38">
        <f t="shared" si="8"/>
        <v>85</v>
      </c>
      <c r="AI83" s="38"/>
      <c r="AJ83" s="38"/>
      <c r="AK83" s="38" t="s">
        <v>42</v>
      </c>
      <c r="AL83" s="38">
        <v>1450</v>
      </c>
      <c r="AM83" s="41">
        <v>1</v>
      </c>
    </row>
    <row r="84" spans="2:39" x14ac:dyDescent="0.2">
      <c r="B84" s="37">
        <v>82</v>
      </c>
      <c r="C84" s="38">
        <v>80</v>
      </c>
      <c r="D84" s="38" t="s">
        <v>136</v>
      </c>
      <c r="E84" s="39" t="str">
        <f t="shared" si="5"/>
        <v>80 - Somme</v>
      </c>
      <c r="F84" s="37">
        <v>82</v>
      </c>
      <c r="G84" s="38" t="s">
        <v>40</v>
      </c>
      <c r="H84" s="38" t="s">
        <v>44</v>
      </c>
      <c r="I84" s="38">
        <v>0</v>
      </c>
      <c r="J84" s="38">
        <f t="shared" si="6"/>
        <v>3</v>
      </c>
      <c r="K84" s="38">
        <f t="shared" si="7"/>
        <v>-7</v>
      </c>
      <c r="L84" s="38">
        <f t="shared" si="9"/>
        <v>-10</v>
      </c>
      <c r="M84" s="38">
        <v>-7</v>
      </c>
      <c r="N84" s="42">
        <v>-8</v>
      </c>
      <c r="O84" s="38">
        <v>-9</v>
      </c>
      <c r="P84" s="38">
        <v>-10</v>
      </c>
      <c r="Q84" s="38" t="s">
        <v>2</v>
      </c>
      <c r="R84" s="38" t="s">
        <v>2</v>
      </c>
      <c r="S84" s="38" t="s">
        <v>2</v>
      </c>
      <c r="T84" s="38" t="s">
        <v>2</v>
      </c>
      <c r="U84" s="38" t="s">
        <v>2</v>
      </c>
      <c r="V84" s="38" t="s">
        <v>2</v>
      </c>
      <c r="W84" s="38" t="s">
        <v>2</v>
      </c>
      <c r="X84" s="38" t="s">
        <v>2</v>
      </c>
      <c r="Y84" s="38" t="s">
        <v>2</v>
      </c>
      <c r="Z84" s="38" t="s">
        <v>2</v>
      </c>
      <c r="AA84" s="38" t="s">
        <v>2</v>
      </c>
      <c r="AB84" s="40">
        <v>5800</v>
      </c>
      <c r="AC84" s="76">
        <v>62500</v>
      </c>
      <c r="AD84" s="38"/>
      <c r="AE84" s="38"/>
      <c r="AF84" s="38">
        <v>73</v>
      </c>
      <c r="AG84" s="38"/>
      <c r="AH84" s="38">
        <f t="shared" si="8"/>
        <v>73</v>
      </c>
      <c r="AI84" s="38"/>
      <c r="AJ84" s="38">
        <v>5</v>
      </c>
      <c r="AK84" s="38" t="s">
        <v>38</v>
      </c>
      <c r="AL84" s="38">
        <v>1250</v>
      </c>
      <c r="AM84" s="41">
        <v>1</v>
      </c>
    </row>
    <row r="85" spans="2:39" x14ac:dyDescent="0.2">
      <c r="B85" s="37">
        <v>83</v>
      </c>
      <c r="C85" s="38">
        <v>81</v>
      </c>
      <c r="D85" s="38" t="s">
        <v>137</v>
      </c>
      <c r="E85" s="39" t="str">
        <f t="shared" si="5"/>
        <v>81 - Tarn</v>
      </c>
      <c r="F85" s="37">
        <v>83</v>
      </c>
      <c r="G85" s="38" t="s">
        <v>47</v>
      </c>
      <c r="H85" s="38" t="s">
        <v>41</v>
      </c>
      <c r="I85" s="38">
        <v>2</v>
      </c>
      <c r="J85" s="38">
        <f t="shared" si="6"/>
        <v>14</v>
      </c>
      <c r="K85" s="38">
        <f t="shared" si="7"/>
        <v>-5</v>
      </c>
      <c r="L85" s="38">
        <f t="shared" si="9"/>
        <v>-12</v>
      </c>
      <c r="M85" s="38" t="s">
        <v>2</v>
      </c>
      <c r="N85" s="42" t="s">
        <v>2</v>
      </c>
      <c r="O85" s="38">
        <v>-5</v>
      </c>
      <c r="P85" s="38">
        <v>-6</v>
      </c>
      <c r="Q85" s="38">
        <v>-7</v>
      </c>
      <c r="R85" s="38">
        <v>-7</v>
      </c>
      <c r="S85" s="38">
        <v>-8</v>
      </c>
      <c r="T85" s="38">
        <v>-8</v>
      </c>
      <c r="U85" s="38">
        <v>-9</v>
      </c>
      <c r="V85" s="38">
        <v>-9</v>
      </c>
      <c r="W85" s="38">
        <v>-10</v>
      </c>
      <c r="X85" s="38">
        <v>-10</v>
      </c>
      <c r="Y85" s="38">
        <v>-11</v>
      </c>
      <c r="Z85" s="38">
        <v>-11</v>
      </c>
      <c r="AA85" s="38">
        <v>-12</v>
      </c>
      <c r="AB85" s="40">
        <v>4400</v>
      </c>
      <c r="AC85" s="76">
        <v>40000</v>
      </c>
      <c r="AD85" s="38"/>
      <c r="AE85" s="38"/>
      <c r="AF85" s="38">
        <v>100</v>
      </c>
      <c r="AG85" s="38"/>
      <c r="AH85" s="38">
        <f t="shared" si="8"/>
        <v>100</v>
      </c>
      <c r="AI85" s="38">
        <v>1.5</v>
      </c>
      <c r="AJ85" s="38"/>
      <c r="AK85" s="38" t="s">
        <v>53</v>
      </c>
      <c r="AL85" s="38">
        <v>1800</v>
      </c>
      <c r="AM85" s="41">
        <v>1</v>
      </c>
    </row>
    <row r="86" spans="2:39" x14ac:dyDescent="0.2">
      <c r="B86" s="37">
        <v>84</v>
      </c>
      <c r="C86" s="38">
        <v>82</v>
      </c>
      <c r="D86" s="38" t="s">
        <v>138</v>
      </c>
      <c r="E86" s="39" t="str">
        <f t="shared" si="5"/>
        <v>82 - Tarn-et-Garonne</v>
      </c>
      <c r="F86" s="37">
        <v>84</v>
      </c>
      <c r="G86" s="38" t="s">
        <v>47</v>
      </c>
      <c r="H86" s="38" t="s">
        <v>41</v>
      </c>
      <c r="I86" s="38">
        <v>1</v>
      </c>
      <c r="J86" s="38">
        <f t="shared" si="6"/>
        <v>3</v>
      </c>
      <c r="K86" s="38">
        <f t="shared" si="7"/>
        <v>-5</v>
      </c>
      <c r="L86" s="38">
        <f t="shared" si="9"/>
        <v>-6</v>
      </c>
      <c r="M86" s="38" t="s">
        <v>2</v>
      </c>
      <c r="N86" s="42" t="s">
        <v>2</v>
      </c>
      <c r="O86" s="38">
        <v>-5</v>
      </c>
      <c r="P86" s="38">
        <v>-6</v>
      </c>
      <c r="Q86" s="38" t="s">
        <v>2</v>
      </c>
      <c r="R86" s="38" t="s">
        <v>2</v>
      </c>
      <c r="S86" s="38" t="s">
        <v>2</v>
      </c>
      <c r="T86" s="38" t="s">
        <v>2</v>
      </c>
      <c r="U86" s="38" t="s">
        <v>2</v>
      </c>
      <c r="V86" s="38" t="s">
        <v>2</v>
      </c>
      <c r="W86" s="38" t="s">
        <v>2</v>
      </c>
      <c r="X86" s="38" t="s">
        <v>2</v>
      </c>
      <c r="Y86" s="38"/>
      <c r="Z86" s="38" t="s">
        <v>2</v>
      </c>
      <c r="AA86" s="38" t="s">
        <v>2</v>
      </c>
      <c r="AB86" s="40">
        <v>4800</v>
      </c>
      <c r="AC86" s="76">
        <v>49200</v>
      </c>
      <c r="AD86" s="38"/>
      <c r="AE86" s="38"/>
      <c r="AF86" s="38">
        <v>90</v>
      </c>
      <c r="AG86" s="38"/>
      <c r="AH86" s="38">
        <f t="shared" si="8"/>
        <v>90</v>
      </c>
      <c r="AI86" s="38"/>
      <c r="AJ86" s="38"/>
      <c r="AK86" s="38" t="s">
        <v>53</v>
      </c>
      <c r="AL86" s="38">
        <v>1800</v>
      </c>
      <c r="AM86" s="41">
        <v>1</v>
      </c>
    </row>
    <row r="87" spans="2:39" x14ac:dyDescent="0.2">
      <c r="B87" s="37">
        <v>85</v>
      </c>
      <c r="C87" s="38">
        <v>83</v>
      </c>
      <c r="D87" s="38" t="s">
        <v>139</v>
      </c>
      <c r="E87" s="39" t="str">
        <f t="shared" si="5"/>
        <v>83 - Var</v>
      </c>
      <c r="F87" s="37">
        <v>85</v>
      </c>
      <c r="G87" s="38" t="s">
        <v>55</v>
      </c>
      <c r="H87" s="38" t="s">
        <v>48</v>
      </c>
      <c r="I87" s="38">
        <v>1</v>
      </c>
      <c r="J87" s="38">
        <f t="shared" si="6"/>
        <v>14</v>
      </c>
      <c r="K87" s="38">
        <f t="shared" si="7"/>
        <v>0</v>
      </c>
      <c r="L87" s="38">
        <f t="shared" si="9"/>
        <v>-12</v>
      </c>
      <c r="M87" s="38">
        <v>0</v>
      </c>
      <c r="N87" s="42">
        <v>-2</v>
      </c>
      <c r="O87" s="38">
        <v>-5</v>
      </c>
      <c r="P87" s="38">
        <v>-6</v>
      </c>
      <c r="Q87" s="38">
        <v>-7</v>
      </c>
      <c r="R87" s="38">
        <v>-7</v>
      </c>
      <c r="S87" s="38">
        <v>-8</v>
      </c>
      <c r="T87" s="38">
        <v>-8</v>
      </c>
      <c r="U87" s="38">
        <v>-9</v>
      </c>
      <c r="V87" s="38">
        <v>-9</v>
      </c>
      <c r="W87" s="38">
        <v>-10</v>
      </c>
      <c r="X87" s="38">
        <v>-10</v>
      </c>
      <c r="Y87" s="38">
        <v>-11</v>
      </c>
      <c r="Z87" s="38">
        <v>-11</v>
      </c>
      <c r="AA87" s="38">
        <v>-12</v>
      </c>
      <c r="AB87" s="40">
        <v>3900</v>
      </c>
      <c r="AC87" s="76">
        <v>36000</v>
      </c>
      <c r="AD87" s="38"/>
      <c r="AE87" s="38"/>
      <c r="AF87" s="38">
        <v>132</v>
      </c>
      <c r="AG87" s="38"/>
      <c r="AH87" s="38">
        <f t="shared" si="8"/>
        <v>132</v>
      </c>
      <c r="AI87" s="38">
        <v>1.8</v>
      </c>
      <c r="AJ87" s="38">
        <v>5</v>
      </c>
      <c r="AK87" s="38" t="s">
        <v>49</v>
      </c>
      <c r="AL87" s="38">
        <v>2200</v>
      </c>
      <c r="AM87" s="41">
        <v>1.1000000000000001</v>
      </c>
    </row>
    <row r="88" spans="2:39" x14ac:dyDescent="0.2">
      <c r="B88" s="37">
        <v>86</v>
      </c>
      <c r="C88" s="38">
        <v>84</v>
      </c>
      <c r="D88" s="38" t="s">
        <v>140</v>
      </c>
      <c r="E88" s="39" t="str">
        <f t="shared" si="5"/>
        <v>84 - Vaucluse</v>
      </c>
      <c r="F88" s="37">
        <v>86</v>
      </c>
      <c r="G88" s="38" t="s">
        <v>47</v>
      </c>
      <c r="H88" s="38" t="s">
        <v>48</v>
      </c>
      <c r="I88" s="38">
        <v>2</v>
      </c>
      <c r="J88" s="38">
        <f t="shared" si="6"/>
        <v>10</v>
      </c>
      <c r="K88" s="38">
        <f t="shared" si="7"/>
        <v>-6</v>
      </c>
      <c r="L88" s="38">
        <f t="shared" si="9"/>
        <v>-14</v>
      </c>
      <c r="M88" s="38" t="s">
        <v>2</v>
      </c>
      <c r="N88" s="42" t="s">
        <v>2</v>
      </c>
      <c r="O88" s="38">
        <v>-6</v>
      </c>
      <c r="P88" s="38">
        <v>-7</v>
      </c>
      <c r="Q88" s="38">
        <v>-8</v>
      </c>
      <c r="R88" s="38">
        <v>-9</v>
      </c>
      <c r="S88" s="38">
        <v>-10</v>
      </c>
      <c r="T88" s="38">
        <v>-11</v>
      </c>
      <c r="U88" s="38">
        <v>-12</v>
      </c>
      <c r="V88" s="38">
        <v>-13</v>
      </c>
      <c r="W88" s="38">
        <v>-14</v>
      </c>
      <c r="X88" s="38" t="s">
        <v>2</v>
      </c>
      <c r="Y88" s="38" t="s">
        <v>2</v>
      </c>
      <c r="Z88" s="38" t="s">
        <v>2</v>
      </c>
      <c r="AA88" s="38" t="s">
        <v>2</v>
      </c>
      <c r="AB88" s="40">
        <v>4600</v>
      </c>
      <c r="AC88" s="76">
        <v>44000</v>
      </c>
      <c r="AD88" s="38"/>
      <c r="AE88" s="38"/>
      <c r="AF88" s="38">
        <v>126</v>
      </c>
      <c r="AG88" s="38"/>
      <c r="AH88" s="38">
        <f t="shared" si="8"/>
        <v>126</v>
      </c>
      <c r="AI88" s="38">
        <v>1.5</v>
      </c>
      <c r="AJ88" s="38"/>
      <c r="AK88" s="38" t="s">
        <v>49</v>
      </c>
      <c r="AL88" s="38">
        <v>2200</v>
      </c>
      <c r="AM88" s="41">
        <v>1.1000000000000001</v>
      </c>
    </row>
    <row r="89" spans="2:39" x14ac:dyDescent="0.2">
      <c r="B89" s="37">
        <v>87</v>
      </c>
      <c r="C89" s="38">
        <v>85</v>
      </c>
      <c r="D89" s="38" t="s">
        <v>141</v>
      </c>
      <c r="E89" s="39" t="str">
        <f t="shared" si="5"/>
        <v>85 - Vendée</v>
      </c>
      <c r="F89" s="37">
        <v>87</v>
      </c>
      <c r="G89" s="38" t="s">
        <v>47</v>
      </c>
      <c r="H89" s="38" t="s">
        <v>60</v>
      </c>
      <c r="I89" s="38">
        <v>0</v>
      </c>
      <c r="J89" s="38">
        <f t="shared" si="6"/>
        <v>3</v>
      </c>
      <c r="K89" s="38">
        <f t="shared" si="7"/>
        <v>-2</v>
      </c>
      <c r="L89" s="38">
        <f t="shared" si="9"/>
        <v>-6</v>
      </c>
      <c r="M89" s="38">
        <v>-2</v>
      </c>
      <c r="N89" s="42">
        <v>-4</v>
      </c>
      <c r="O89" s="38">
        <v>-5</v>
      </c>
      <c r="P89" s="38">
        <v>-6</v>
      </c>
      <c r="Q89" s="38" t="s">
        <v>2</v>
      </c>
      <c r="R89" s="38" t="s">
        <v>2</v>
      </c>
      <c r="S89" s="38" t="s">
        <v>2</v>
      </c>
      <c r="T89" s="38" t="s">
        <v>2</v>
      </c>
      <c r="U89" s="38" t="s">
        <v>2</v>
      </c>
      <c r="V89" s="38" t="s">
        <v>2</v>
      </c>
      <c r="W89" s="38" t="s">
        <v>2</v>
      </c>
      <c r="X89" s="38" t="s">
        <v>2</v>
      </c>
      <c r="Y89" s="38" t="s">
        <v>2</v>
      </c>
      <c r="Z89" s="38" t="s">
        <v>2</v>
      </c>
      <c r="AA89" s="38" t="s">
        <v>2</v>
      </c>
      <c r="AB89" s="40">
        <v>5200</v>
      </c>
      <c r="AC89" s="76">
        <v>50000</v>
      </c>
      <c r="AD89" s="38"/>
      <c r="AE89" s="38"/>
      <c r="AF89" s="38">
        <v>85</v>
      </c>
      <c r="AG89" s="38"/>
      <c r="AH89" s="38">
        <f t="shared" si="8"/>
        <v>85</v>
      </c>
      <c r="AI89" s="38"/>
      <c r="AJ89" s="38">
        <v>5</v>
      </c>
      <c r="AK89" s="38" t="s">
        <v>53</v>
      </c>
      <c r="AL89" s="38">
        <v>1800</v>
      </c>
      <c r="AM89" s="41">
        <v>1</v>
      </c>
    </row>
    <row r="90" spans="2:39" x14ac:dyDescent="0.2">
      <c r="B90" s="37">
        <v>88</v>
      </c>
      <c r="C90" s="38">
        <v>86</v>
      </c>
      <c r="D90" s="38" t="s">
        <v>142</v>
      </c>
      <c r="E90" s="39" t="str">
        <f t="shared" si="5"/>
        <v>86 - Vienne</v>
      </c>
      <c r="F90" s="37">
        <v>88</v>
      </c>
      <c r="G90" s="38" t="s">
        <v>47</v>
      </c>
      <c r="H90" s="38" t="s">
        <v>60</v>
      </c>
      <c r="I90" s="38">
        <v>2</v>
      </c>
      <c r="J90" s="38">
        <f t="shared" si="6"/>
        <v>3</v>
      </c>
      <c r="K90" s="38">
        <f t="shared" si="7"/>
        <v>-7</v>
      </c>
      <c r="L90" s="38">
        <f t="shared" si="9"/>
        <v>-8</v>
      </c>
      <c r="M90" s="38" t="s">
        <v>2</v>
      </c>
      <c r="N90" s="42" t="s">
        <v>2</v>
      </c>
      <c r="O90" s="38">
        <v>-7</v>
      </c>
      <c r="P90" s="38">
        <v>-8</v>
      </c>
      <c r="Q90" s="38" t="s">
        <v>2</v>
      </c>
      <c r="R90" s="38" t="s">
        <v>2</v>
      </c>
      <c r="S90" s="38" t="s">
        <v>2</v>
      </c>
      <c r="T90" s="38" t="s">
        <v>2</v>
      </c>
      <c r="U90" s="38" t="s">
        <v>2</v>
      </c>
      <c r="V90" s="38" t="s">
        <v>2</v>
      </c>
      <c r="W90" s="38" t="s">
        <v>2</v>
      </c>
      <c r="X90" s="38" t="s">
        <v>2</v>
      </c>
      <c r="Y90" s="38" t="s">
        <v>2</v>
      </c>
      <c r="Z90" s="38" t="s">
        <v>2</v>
      </c>
      <c r="AA90" s="38" t="s">
        <v>2</v>
      </c>
      <c r="AB90" s="40">
        <v>5300</v>
      </c>
      <c r="AC90" s="76">
        <v>56000</v>
      </c>
      <c r="AD90" s="38"/>
      <c r="AE90" s="38"/>
      <c r="AF90" s="38">
        <v>86</v>
      </c>
      <c r="AG90" s="38"/>
      <c r="AH90" s="38">
        <f t="shared" si="8"/>
        <v>86</v>
      </c>
      <c r="AI90" s="38"/>
      <c r="AJ90" s="38"/>
      <c r="AK90" s="38" t="s">
        <v>42</v>
      </c>
      <c r="AL90" s="38">
        <v>1450</v>
      </c>
      <c r="AM90" s="41">
        <v>1</v>
      </c>
    </row>
    <row r="91" spans="2:39" x14ac:dyDescent="0.2">
      <c r="B91" s="37">
        <v>89</v>
      </c>
      <c r="C91" s="38">
        <v>87</v>
      </c>
      <c r="D91" s="38" t="s">
        <v>143</v>
      </c>
      <c r="E91" s="39" t="str">
        <f t="shared" si="5"/>
        <v>87 - Haute-Vienne</v>
      </c>
      <c r="F91" s="37">
        <v>89</v>
      </c>
      <c r="G91" s="38" t="s">
        <v>40</v>
      </c>
      <c r="H91" s="38" t="s">
        <v>41</v>
      </c>
      <c r="I91" s="38">
        <v>2</v>
      </c>
      <c r="J91" s="38">
        <f t="shared" si="6"/>
        <v>13</v>
      </c>
      <c r="K91" s="38">
        <f t="shared" si="7"/>
        <v>-8</v>
      </c>
      <c r="L91" s="38">
        <f t="shared" si="9"/>
        <v>-19</v>
      </c>
      <c r="M91" s="38" t="s">
        <v>2</v>
      </c>
      <c r="N91" s="42" t="s">
        <v>2</v>
      </c>
      <c r="O91" s="38">
        <v>-8</v>
      </c>
      <c r="P91" s="38">
        <v>-9</v>
      </c>
      <c r="Q91" s="38">
        <v>-10</v>
      </c>
      <c r="R91" s="38">
        <v>-11</v>
      </c>
      <c r="S91" s="38">
        <v>-12</v>
      </c>
      <c r="T91" s="38">
        <v>-13</v>
      </c>
      <c r="U91" s="38">
        <v>-14</v>
      </c>
      <c r="V91" s="38">
        <v>-15</v>
      </c>
      <c r="W91" s="38">
        <v>-16</v>
      </c>
      <c r="X91" s="38">
        <v>-17</v>
      </c>
      <c r="Y91" s="38">
        <v>-18</v>
      </c>
      <c r="Z91" s="38">
        <v>-19</v>
      </c>
      <c r="AA91" s="38" t="s">
        <v>2</v>
      </c>
      <c r="AB91" s="40">
        <v>5200</v>
      </c>
      <c r="AC91" s="76">
        <v>60400</v>
      </c>
      <c r="AD91" s="38"/>
      <c r="AE91" s="38"/>
      <c r="AF91" s="38">
        <v>86</v>
      </c>
      <c r="AG91" s="38"/>
      <c r="AH91" s="38">
        <f t="shared" si="8"/>
        <v>86</v>
      </c>
      <c r="AI91" s="38">
        <v>1.5</v>
      </c>
      <c r="AJ91" s="38"/>
      <c r="AK91" s="38" t="s">
        <v>42</v>
      </c>
      <c r="AL91" s="38">
        <v>1450</v>
      </c>
      <c r="AM91" s="41">
        <v>1.1000000000000001</v>
      </c>
    </row>
    <row r="92" spans="2:39" x14ac:dyDescent="0.2">
      <c r="B92" s="37">
        <v>90</v>
      </c>
      <c r="C92" s="38">
        <v>88</v>
      </c>
      <c r="D92" s="38" t="s">
        <v>144</v>
      </c>
      <c r="E92" s="39" t="str">
        <f t="shared" si="5"/>
        <v>88 - Vosges</v>
      </c>
      <c r="F92" s="37">
        <v>90</v>
      </c>
      <c r="G92" s="38" t="s">
        <v>40</v>
      </c>
      <c r="H92" s="38" t="s">
        <v>60</v>
      </c>
      <c r="I92" s="38">
        <v>2</v>
      </c>
      <c r="J92" s="38">
        <f t="shared" si="6"/>
        <v>8</v>
      </c>
      <c r="K92" s="38">
        <f t="shared" si="7"/>
        <v>-15</v>
      </c>
      <c r="L92" s="38">
        <f t="shared" si="9"/>
        <v>-20</v>
      </c>
      <c r="M92" s="38" t="s">
        <v>2</v>
      </c>
      <c r="N92" s="42" t="s">
        <v>2</v>
      </c>
      <c r="O92" s="38">
        <v>-15</v>
      </c>
      <c r="P92" s="38">
        <v>-15</v>
      </c>
      <c r="Q92" s="38">
        <v>-16</v>
      </c>
      <c r="R92" s="38">
        <v>-17</v>
      </c>
      <c r="S92" s="38">
        <v>-18</v>
      </c>
      <c r="T92" s="38">
        <v>-19</v>
      </c>
      <c r="U92" s="38">
        <v>-20</v>
      </c>
      <c r="V92" s="38" t="s">
        <v>2</v>
      </c>
      <c r="W92" s="38" t="s">
        <v>2</v>
      </c>
      <c r="X92" s="38" t="s">
        <v>2</v>
      </c>
      <c r="Y92" s="38" t="s">
        <v>2</v>
      </c>
      <c r="Z92" s="38" t="s">
        <v>2</v>
      </c>
      <c r="AA92" s="38" t="s">
        <v>2</v>
      </c>
      <c r="AB92" s="40">
        <v>5300</v>
      </c>
      <c r="AC92" s="76">
        <v>65000</v>
      </c>
      <c r="AD92" s="38"/>
      <c r="AE92" s="38"/>
      <c r="AF92" s="38">
        <v>71</v>
      </c>
      <c r="AG92" s="38"/>
      <c r="AH92" s="38">
        <f t="shared" si="8"/>
        <v>71</v>
      </c>
      <c r="AI92" s="38">
        <v>1.5</v>
      </c>
      <c r="AJ92" s="38"/>
      <c r="AK92" s="38" t="s">
        <v>38</v>
      </c>
      <c r="AL92" s="38">
        <v>1250</v>
      </c>
      <c r="AM92" s="41">
        <v>1</v>
      </c>
    </row>
    <row r="93" spans="2:39" x14ac:dyDescent="0.2">
      <c r="B93" s="37">
        <v>91</v>
      </c>
      <c r="C93" s="38">
        <v>89</v>
      </c>
      <c r="D93" s="38" t="s">
        <v>145</v>
      </c>
      <c r="E93" s="39" t="str">
        <f t="shared" si="5"/>
        <v>89 - Yonne</v>
      </c>
      <c r="F93" s="37">
        <v>91</v>
      </c>
      <c r="G93" s="38" t="s">
        <v>40</v>
      </c>
      <c r="H93" s="38" t="s">
        <v>60</v>
      </c>
      <c r="I93" s="38">
        <v>2</v>
      </c>
      <c r="J93" s="38">
        <f t="shared" si="6"/>
        <v>6</v>
      </c>
      <c r="K93" s="38">
        <f t="shared" si="7"/>
        <v>-10</v>
      </c>
      <c r="L93" s="38">
        <f t="shared" si="9"/>
        <v>-14</v>
      </c>
      <c r="M93" s="38" t="s">
        <v>2</v>
      </c>
      <c r="N93" s="42" t="s">
        <v>2</v>
      </c>
      <c r="O93" s="38">
        <v>-10</v>
      </c>
      <c r="P93" s="38">
        <v>-11</v>
      </c>
      <c r="Q93" s="38">
        <v>-12</v>
      </c>
      <c r="R93" s="38">
        <v>-13</v>
      </c>
      <c r="S93" s="38">
        <v>-14</v>
      </c>
      <c r="T93" s="38" t="s">
        <v>2</v>
      </c>
      <c r="U93" s="38" t="s">
        <v>2</v>
      </c>
      <c r="V93" s="38" t="s">
        <v>2</v>
      </c>
      <c r="W93" s="38" t="s">
        <v>2</v>
      </c>
      <c r="X93" s="38" t="s">
        <v>2</v>
      </c>
      <c r="Y93" s="38" t="s">
        <v>2</v>
      </c>
      <c r="Z93" s="38" t="s">
        <v>2</v>
      </c>
      <c r="AA93" s="38" t="s">
        <v>2</v>
      </c>
      <c r="AB93" s="40">
        <v>5400</v>
      </c>
      <c r="AC93" s="76">
        <v>60700</v>
      </c>
      <c r="AD93" s="38"/>
      <c r="AE93" s="38"/>
      <c r="AF93" s="38">
        <v>76</v>
      </c>
      <c r="AG93" s="38"/>
      <c r="AH93" s="38">
        <f t="shared" si="8"/>
        <v>76</v>
      </c>
      <c r="AI93" s="38"/>
      <c r="AJ93" s="38"/>
      <c r="AK93" s="38" t="s">
        <v>42</v>
      </c>
      <c r="AL93" s="38">
        <v>1450</v>
      </c>
      <c r="AM93" s="41">
        <v>1</v>
      </c>
    </row>
    <row r="94" spans="2:39" x14ac:dyDescent="0.2">
      <c r="B94" s="37">
        <v>92</v>
      </c>
      <c r="C94" s="38">
        <v>90</v>
      </c>
      <c r="D94" s="38" t="s">
        <v>146</v>
      </c>
      <c r="E94" s="39" t="str">
        <f t="shared" si="5"/>
        <v>90 - Territoire-de-Belfort</v>
      </c>
      <c r="F94" s="37">
        <v>92</v>
      </c>
      <c r="G94" s="38" t="s">
        <v>40</v>
      </c>
      <c r="H94" s="38" t="s">
        <v>60</v>
      </c>
      <c r="I94" s="38">
        <v>2</v>
      </c>
      <c r="J94" s="38">
        <f t="shared" si="6"/>
        <v>8</v>
      </c>
      <c r="K94" s="38">
        <f t="shared" si="7"/>
        <v>-15</v>
      </c>
      <c r="L94" s="38">
        <f t="shared" si="9"/>
        <v>-20</v>
      </c>
      <c r="M94" s="38" t="s">
        <v>2</v>
      </c>
      <c r="N94" s="42" t="s">
        <v>2</v>
      </c>
      <c r="O94" s="38">
        <v>-15</v>
      </c>
      <c r="P94" s="38">
        <v>-15</v>
      </c>
      <c r="Q94" s="38">
        <v>-16</v>
      </c>
      <c r="R94" s="38">
        <v>-17</v>
      </c>
      <c r="S94" s="38">
        <v>-18</v>
      </c>
      <c r="T94" s="38">
        <v>-19</v>
      </c>
      <c r="U94" s="38">
        <v>-20</v>
      </c>
      <c r="V94" s="38" t="s">
        <v>2</v>
      </c>
      <c r="W94" s="38" t="s">
        <v>2</v>
      </c>
      <c r="X94" s="38" t="s">
        <v>2</v>
      </c>
      <c r="Y94" s="38" t="s">
        <v>2</v>
      </c>
      <c r="Z94" s="38" t="s">
        <v>2</v>
      </c>
      <c r="AA94" s="38" t="s">
        <v>2</v>
      </c>
      <c r="AB94" s="40">
        <v>5300</v>
      </c>
      <c r="AC94" s="76">
        <v>67000</v>
      </c>
      <c r="AD94" s="38"/>
      <c r="AE94" s="38"/>
      <c r="AF94" s="38">
        <v>70</v>
      </c>
      <c r="AG94" s="38"/>
      <c r="AH94" s="38">
        <f t="shared" si="8"/>
        <v>70</v>
      </c>
      <c r="AI94" s="38">
        <v>1.5</v>
      </c>
      <c r="AJ94" s="38"/>
      <c r="AK94" s="38" t="s">
        <v>38</v>
      </c>
      <c r="AL94" s="38">
        <v>1250</v>
      </c>
      <c r="AM94" s="41">
        <v>1</v>
      </c>
    </row>
    <row r="95" spans="2:39" x14ac:dyDescent="0.2">
      <c r="B95" s="37">
        <v>93</v>
      </c>
      <c r="C95" s="38">
        <v>91</v>
      </c>
      <c r="D95" s="38" t="s">
        <v>147</v>
      </c>
      <c r="E95" s="39" t="str">
        <f t="shared" si="5"/>
        <v>91 - Essone</v>
      </c>
      <c r="F95" s="37">
        <v>93</v>
      </c>
      <c r="G95" s="38" t="s">
        <v>40</v>
      </c>
      <c r="H95" s="38" t="s">
        <v>60</v>
      </c>
      <c r="I95" s="38">
        <v>2</v>
      </c>
      <c r="J95" s="38">
        <f t="shared" si="6"/>
        <v>2</v>
      </c>
      <c r="K95" s="38">
        <f t="shared" si="7"/>
        <v>-7</v>
      </c>
      <c r="L95" s="38">
        <f t="shared" si="9"/>
        <v>-7</v>
      </c>
      <c r="M95" s="38" t="s">
        <v>2</v>
      </c>
      <c r="N95" s="42" t="s">
        <v>2</v>
      </c>
      <c r="O95" s="38">
        <v>-7</v>
      </c>
      <c r="P95" s="38" t="s">
        <v>2</v>
      </c>
      <c r="Q95" s="38" t="s">
        <v>2</v>
      </c>
      <c r="R95" s="38" t="s">
        <v>2</v>
      </c>
      <c r="S95" s="38" t="s">
        <v>2</v>
      </c>
      <c r="T95" s="38" t="s">
        <v>2</v>
      </c>
      <c r="U95" s="38" t="s">
        <v>2</v>
      </c>
      <c r="V95" s="38" t="s">
        <v>2</v>
      </c>
      <c r="W95" s="38" t="s">
        <v>2</v>
      </c>
      <c r="X95" s="38" t="s">
        <v>2</v>
      </c>
      <c r="Y95" s="38" t="s">
        <v>2</v>
      </c>
      <c r="Z95" s="38" t="s">
        <v>2</v>
      </c>
      <c r="AA95" s="38" t="s">
        <v>2</v>
      </c>
      <c r="AB95" s="40">
        <v>5500</v>
      </c>
      <c r="AC95" s="76">
        <v>61000</v>
      </c>
      <c r="AD95" s="38"/>
      <c r="AE95" s="38"/>
      <c r="AF95" s="38">
        <v>72</v>
      </c>
      <c r="AG95" s="38"/>
      <c r="AH95" s="38">
        <f t="shared" si="8"/>
        <v>72</v>
      </c>
      <c r="AI95" s="38"/>
      <c r="AJ95" s="38"/>
      <c r="AK95" s="38" t="s">
        <v>38</v>
      </c>
      <c r="AL95" s="38">
        <v>1250</v>
      </c>
      <c r="AM95" s="41">
        <v>1</v>
      </c>
    </row>
    <row r="96" spans="2:39" x14ac:dyDescent="0.2">
      <c r="B96" s="37">
        <v>94</v>
      </c>
      <c r="C96" s="38">
        <v>92</v>
      </c>
      <c r="D96" s="38" t="s">
        <v>148</v>
      </c>
      <c r="E96" s="39" t="str">
        <f t="shared" si="5"/>
        <v>92 - Hauts-de-Seine</v>
      </c>
      <c r="F96" s="37">
        <v>94</v>
      </c>
      <c r="G96" s="38" t="s">
        <v>40</v>
      </c>
      <c r="H96" s="38" t="s">
        <v>60</v>
      </c>
      <c r="I96" s="38">
        <v>2</v>
      </c>
      <c r="J96" s="38">
        <f t="shared" si="6"/>
        <v>2</v>
      </c>
      <c r="K96" s="38">
        <f t="shared" si="7"/>
        <v>-7</v>
      </c>
      <c r="L96" s="38">
        <f t="shared" si="9"/>
        <v>-7</v>
      </c>
      <c r="M96" s="38" t="s">
        <v>2</v>
      </c>
      <c r="N96" s="42" t="s">
        <v>2</v>
      </c>
      <c r="O96" s="38">
        <v>-7</v>
      </c>
      <c r="P96" s="38" t="s">
        <v>2</v>
      </c>
      <c r="Q96" s="38" t="s">
        <v>2</v>
      </c>
      <c r="R96" s="38" t="s">
        <v>2</v>
      </c>
      <c r="S96" s="38" t="s">
        <v>2</v>
      </c>
      <c r="T96" s="38" t="s">
        <v>2</v>
      </c>
      <c r="U96" s="38" t="s">
        <v>2</v>
      </c>
      <c r="V96" s="38" t="s">
        <v>2</v>
      </c>
      <c r="W96" s="38" t="s">
        <v>2</v>
      </c>
      <c r="X96" s="38" t="s">
        <v>2</v>
      </c>
      <c r="Y96" s="38" t="s">
        <v>2</v>
      </c>
      <c r="Z96" s="38" t="s">
        <v>2</v>
      </c>
      <c r="AA96" s="38" t="s">
        <v>2</v>
      </c>
      <c r="AB96" s="40">
        <v>5300</v>
      </c>
      <c r="AC96" s="76">
        <v>58000</v>
      </c>
      <c r="AD96" s="38"/>
      <c r="AE96" s="38"/>
      <c r="AF96" s="38">
        <v>66</v>
      </c>
      <c r="AG96" s="38"/>
      <c r="AH96" s="38">
        <f t="shared" si="8"/>
        <v>66</v>
      </c>
      <c r="AI96" s="38"/>
      <c r="AJ96" s="38"/>
      <c r="AK96" s="38" t="s">
        <v>38</v>
      </c>
      <c r="AL96" s="38">
        <v>1250</v>
      </c>
      <c r="AM96" s="41">
        <v>1</v>
      </c>
    </row>
    <row r="97" spans="1:39" x14ac:dyDescent="0.2">
      <c r="B97" s="37">
        <v>95</v>
      </c>
      <c r="C97" s="38">
        <v>93</v>
      </c>
      <c r="D97" s="38" t="s">
        <v>149</v>
      </c>
      <c r="E97" s="39" t="str">
        <f t="shared" si="5"/>
        <v>93 - Seine-Saint-Denis</v>
      </c>
      <c r="F97" s="37">
        <v>95</v>
      </c>
      <c r="G97" s="38" t="s">
        <v>40</v>
      </c>
      <c r="H97" s="38" t="s">
        <v>60</v>
      </c>
      <c r="I97" s="38">
        <v>2</v>
      </c>
      <c r="J97" s="38">
        <f t="shared" si="6"/>
        <v>2</v>
      </c>
      <c r="K97" s="38">
        <f t="shared" si="7"/>
        <v>-7</v>
      </c>
      <c r="L97" s="38">
        <f t="shared" si="9"/>
        <v>-7</v>
      </c>
      <c r="M97" s="38" t="s">
        <v>2</v>
      </c>
      <c r="N97" s="42" t="s">
        <v>2</v>
      </c>
      <c r="O97" s="38">
        <v>-7</v>
      </c>
      <c r="P97" s="38" t="s">
        <v>2</v>
      </c>
      <c r="Q97" s="38" t="s">
        <v>2</v>
      </c>
      <c r="R97" s="38" t="s">
        <v>2</v>
      </c>
      <c r="S97" s="38" t="s">
        <v>2</v>
      </c>
      <c r="T97" s="38" t="s">
        <v>2</v>
      </c>
      <c r="U97" s="38" t="s">
        <v>2</v>
      </c>
      <c r="V97" s="38" t="s">
        <v>2</v>
      </c>
      <c r="W97" s="38" t="s">
        <v>2</v>
      </c>
      <c r="X97" s="38" t="s">
        <v>2</v>
      </c>
      <c r="Y97" s="38" t="s">
        <v>2</v>
      </c>
      <c r="Z97" s="38" t="s">
        <v>2</v>
      </c>
      <c r="AA97" s="38" t="s">
        <v>2</v>
      </c>
      <c r="AB97" s="40">
        <v>5300</v>
      </c>
      <c r="AC97" s="76">
        <v>58000</v>
      </c>
      <c r="AD97" s="38"/>
      <c r="AE97" s="38"/>
      <c r="AF97" s="38">
        <v>66</v>
      </c>
      <c r="AG97" s="38"/>
      <c r="AH97" s="38">
        <f t="shared" si="8"/>
        <v>66</v>
      </c>
      <c r="AI97" s="38"/>
      <c r="AJ97" s="38"/>
      <c r="AK97" s="38" t="s">
        <v>38</v>
      </c>
      <c r="AL97" s="38">
        <v>1250</v>
      </c>
      <c r="AM97" s="41">
        <v>1</v>
      </c>
    </row>
    <row r="98" spans="1:39" x14ac:dyDescent="0.2">
      <c r="B98" s="37">
        <v>96</v>
      </c>
      <c r="C98" s="38">
        <v>94</v>
      </c>
      <c r="D98" s="38" t="s">
        <v>150</v>
      </c>
      <c r="E98" s="39" t="str">
        <f t="shared" si="5"/>
        <v>94 - Val-de-Marne</v>
      </c>
      <c r="F98" s="37">
        <v>96</v>
      </c>
      <c r="G98" s="38" t="s">
        <v>40</v>
      </c>
      <c r="H98" s="38" t="s">
        <v>60</v>
      </c>
      <c r="I98" s="38">
        <v>2</v>
      </c>
      <c r="J98" s="38">
        <f t="shared" si="6"/>
        <v>2</v>
      </c>
      <c r="K98" s="38">
        <f t="shared" si="7"/>
        <v>-7</v>
      </c>
      <c r="L98" s="38">
        <f t="shared" si="9"/>
        <v>-7</v>
      </c>
      <c r="M98" s="38" t="s">
        <v>2</v>
      </c>
      <c r="N98" s="42" t="s">
        <v>2</v>
      </c>
      <c r="O98" s="38">
        <v>-7</v>
      </c>
      <c r="P98" s="38" t="s">
        <v>2</v>
      </c>
      <c r="Q98" s="38" t="s">
        <v>2</v>
      </c>
      <c r="R98" s="38" t="s">
        <v>2</v>
      </c>
      <c r="S98" s="38" t="s">
        <v>2</v>
      </c>
      <c r="T98" s="38" t="s">
        <v>2</v>
      </c>
      <c r="U98" s="38" t="s">
        <v>2</v>
      </c>
      <c r="V98" s="38" t="s">
        <v>2</v>
      </c>
      <c r="W98" s="38" t="s">
        <v>2</v>
      </c>
      <c r="X98" s="38" t="s">
        <v>2</v>
      </c>
      <c r="Y98" s="38" t="s">
        <v>2</v>
      </c>
      <c r="Z98" s="38" t="s">
        <v>2</v>
      </c>
      <c r="AA98" s="38" t="s">
        <v>2</v>
      </c>
      <c r="AB98" s="40">
        <v>5300</v>
      </c>
      <c r="AC98" s="76">
        <v>58000</v>
      </c>
      <c r="AD98" s="38"/>
      <c r="AE98" s="38"/>
      <c r="AF98" s="38">
        <v>66</v>
      </c>
      <c r="AG98" s="38"/>
      <c r="AH98" s="38">
        <f t="shared" si="8"/>
        <v>66</v>
      </c>
      <c r="AI98" s="38"/>
      <c r="AJ98" s="38"/>
      <c r="AK98" s="38" t="s">
        <v>38</v>
      </c>
      <c r="AL98" s="38">
        <v>1250</v>
      </c>
      <c r="AM98" s="41">
        <v>1</v>
      </c>
    </row>
    <row r="99" spans="1:39" x14ac:dyDescent="0.2">
      <c r="B99" s="37">
        <v>97</v>
      </c>
      <c r="C99" s="38">
        <v>95</v>
      </c>
      <c r="D99" s="38" t="s">
        <v>151</v>
      </c>
      <c r="E99" s="39" t="str">
        <f t="shared" si="5"/>
        <v>95 - Val-d'Oise</v>
      </c>
      <c r="F99" s="37">
        <v>97</v>
      </c>
      <c r="G99" s="38" t="s">
        <v>40</v>
      </c>
      <c r="H99" s="38" t="s">
        <v>60</v>
      </c>
      <c r="I99" s="38">
        <v>2</v>
      </c>
      <c r="J99" s="38">
        <f t="shared" si="6"/>
        <v>2</v>
      </c>
      <c r="K99" s="38">
        <f t="shared" si="7"/>
        <v>-7</v>
      </c>
      <c r="L99" s="38">
        <f t="shared" si="9"/>
        <v>-7</v>
      </c>
      <c r="M99" s="38" t="s">
        <v>2</v>
      </c>
      <c r="N99" s="42" t="s">
        <v>2</v>
      </c>
      <c r="O99" s="38">
        <v>-7</v>
      </c>
      <c r="P99" s="38" t="s">
        <v>2</v>
      </c>
      <c r="Q99" s="38" t="s">
        <v>2</v>
      </c>
      <c r="R99" s="38" t="s">
        <v>2</v>
      </c>
      <c r="S99" s="38" t="s">
        <v>2</v>
      </c>
      <c r="T99" s="38" t="s">
        <v>2</v>
      </c>
      <c r="U99" s="38" t="s">
        <v>2</v>
      </c>
      <c r="V99" s="38" t="s">
        <v>2</v>
      </c>
      <c r="W99" s="38" t="s">
        <v>2</v>
      </c>
      <c r="X99" s="38" t="s">
        <v>2</v>
      </c>
      <c r="Y99" s="38" t="s">
        <v>2</v>
      </c>
      <c r="Z99" s="38" t="s">
        <v>2</v>
      </c>
      <c r="AA99" s="38" t="s">
        <v>2</v>
      </c>
      <c r="AB99" s="40">
        <v>5500</v>
      </c>
      <c r="AC99" s="76">
        <v>61000</v>
      </c>
      <c r="AD99" s="38"/>
      <c r="AE99" s="38"/>
      <c r="AF99" s="38">
        <v>72</v>
      </c>
      <c r="AG99" s="38"/>
      <c r="AH99" s="38">
        <f t="shared" si="8"/>
        <v>72</v>
      </c>
      <c r="AI99" s="38"/>
      <c r="AJ99" s="38"/>
      <c r="AK99" s="38" t="s">
        <v>38</v>
      </c>
      <c r="AL99" s="38">
        <v>1250</v>
      </c>
      <c r="AM99" s="41">
        <v>1</v>
      </c>
    </row>
    <row r="103" spans="1:39" x14ac:dyDescent="0.2">
      <c r="B103" s="50" t="s">
        <v>5</v>
      </c>
      <c r="C103" t="s">
        <v>153</v>
      </c>
      <c r="D103" t="str">
        <f>Neuf!G26</f>
        <v>Conforme à la RT 2000 (0,9)</v>
      </c>
      <c r="G103" s="50" t="s">
        <v>193</v>
      </c>
      <c r="H103" t="s">
        <v>194</v>
      </c>
      <c r="I103" t="str">
        <f>Neuf!E29</f>
        <v>Normale (50 l/j à 55°C)</v>
      </c>
      <c r="L103" s="50" t="s">
        <v>324</v>
      </c>
      <c r="N103" t="str">
        <f>Neuf!C41</f>
        <v>Aucune</v>
      </c>
    </row>
    <row r="104" spans="1:39" x14ac:dyDescent="0.2">
      <c r="A104">
        <v>1</v>
      </c>
      <c r="B104" t="s">
        <v>188</v>
      </c>
      <c r="C104">
        <v>0.9</v>
      </c>
      <c r="D104">
        <f>IF(D103=B104,1,IF(D103=B105,2,IF(D103=B106,3,IF(D103=B107,4,IF(D103=B108,5)))))</f>
        <v>1</v>
      </c>
      <c r="F104">
        <v>1</v>
      </c>
      <c r="G104" t="s">
        <v>332</v>
      </c>
      <c r="H104">
        <v>35</v>
      </c>
      <c r="I104">
        <f>IF(I103=G104,1,IF(I103=G105,2,IF(I103=G106,3,IF(I103=L107,4,IF(I103=L108,5)))))</f>
        <v>2</v>
      </c>
      <c r="K104">
        <v>1</v>
      </c>
      <c r="L104" t="s">
        <v>325</v>
      </c>
      <c r="M104">
        <f>I109</f>
        <v>0</v>
      </c>
      <c r="N104">
        <f>IF(N103=L104,1,IF(N103=L105,2,IF(N103=L106,3)))</f>
        <v>1</v>
      </c>
    </row>
    <row r="105" spans="1:39" x14ac:dyDescent="0.2">
      <c r="A105">
        <v>2</v>
      </c>
      <c r="B105" t="s">
        <v>189</v>
      </c>
      <c r="C105">
        <v>0.8</v>
      </c>
      <c r="F105">
        <v>2</v>
      </c>
      <c r="G105" t="s">
        <v>333</v>
      </c>
      <c r="H105">
        <v>50</v>
      </c>
      <c r="K105">
        <v>2</v>
      </c>
      <c r="L105" t="s">
        <v>37</v>
      </c>
      <c r="M105">
        <f>I109</f>
        <v>0</v>
      </c>
    </row>
    <row r="106" spans="1:39" x14ac:dyDescent="0.2">
      <c r="A106">
        <v>3</v>
      </c>
      <c r="B106" t="s">
        <v>190</v>
      </c>
      <c r="C106">
        <v>0.6</v>
      </c>
      <c r="F106">
        <v>3</v>
      </c>
      <c r="G106" t="s">
        <v>334</v>
      </c>
      <c r="H106">
        <v>70</v>
      </c>
      <c r="K106">
        <v>3</v>
      </c>
      <c r="L106" t="s">
        <v>326</v>
      </c>
      <c r="M106">
        <f>I109</f>
        <v>0</v>
      </c>
    </row>
    <row r="107" spans="1:39" x14ac:dyDescent="0.2">
      <c r="A107">
        <v>4</v>
      </c>
      <c r="B107" t="s">
        <v>191</v>
      </c>
      <c r="C107">
        <v>0.4</v>
      </c>
    </row>
    <row r="111" spans="1:39" x14ac:dyDescent="0.2">
      <c r="B111" s="50" t="s">
        <v>195</v>
      </c>
      <c r="D111" t="s">
        <v>337</v>
      </c>
      <c r="E111" s="50" t="s">
        <v>303</v>
      </c>
      <c r="I111" s="50" t="s">
        <v>304</v>
      </c>
    </row>
    <row r="112" spans="1:39" x14ac:dyDescent="0.2">
      <c r="B112" t="s">
        <v>157</v>
      </c>
      <c r="C112">
        <f>VLOOKUP(Neuf!C20,'calculs neuf'!E4:F99,2,FALSE)</f>
        <v>2</v>
      </c>
      <c r="D112">
        <f>VLOOKUP(C112,F4:AA99,10,FALSE)</f>
        <v>-10</v>
      </c>
      <c r="E112" t="s">
        <v>298</v>
      </c>
      <c r="G112">
        <f>('Coûts Energies'!H33-'Coûts Energies'!H32)/('Coûts Energies'!D32-'Coûts Energies'!D33+0.001)*100</f>
        <v>0</v>
      </c>
      <c r="H112" t="s">
        <v>180</v>
      </c>
      <c r="I112" t="s">
        <v>305</v>
      </c>
      <c r="J112">
        <f>IF(C118+6&lt;12,'Coûts Energies'!H20,IF(C118+6&lt;15,'Coûts Energies'!H21,IF(C118+6&lt;18,'Coûts Energies'!H22,IF(C118+6&lt;24,'Coûts Energies'!H23,IF(C118+6&lt;30,'Coûts Energies'!H24,'Coûts Energies'!H25)))))</f>
        <v>223.68</v>
      </c>
    </row>
    <row r="113" spans="2:16" x14ac:dyDescent="0.2">
      <c r="B113" t="s">
        <v>158</v>
      </c>
      <c r="C113">
        <f>AR4</f>
        <v>1</v>
      </c>
      <c r="I113" t="s">
        <v>307</v>
      </c>
      <c r="J113">
        <f>IF(0.75*C118+6&lt;12,'Coûts Energies'!H20,IF(0.75*C118+6&lt;15,'Coûts Energies'!H21,IF(0.75*C118+6&lt;18,'Coûts Energies'!H22,IF(0.75*C118+6&lt;24,'Coûts Energies'!H23,IF(0.75*C118+6&lt;30,'Coûts Energies'!H24,'Coûts Energies'!H25)))))</f>
        <v>201.36</v>
      </c>
    </row>
    <row r="114" spans="2:16" x14ac:dyDescent="0.2">
      <c r="B114" t="s">
        <v>154</v>
      </c>
      <c r="C114">
        <f>VLOOKUP(C112,F4:AA99,C113+9,FALSE)</f>
        <v>-10</v>
      </c>
      <c r="D114" s="71" t="s">
        <v>316</v>
      </c>
      <c r="E114" t="s">
        <v>212</v>
      </c>
      <c r="G114">
        <f>C122/C137/0.9</f>
        <v>23351.681957186545</v>
      </c>
      <c r="H114" t="s">
        <v>180</v>
      </c>
      <c r="I114" t="s">
        <v>306</v>
      </c>
      <c r="J114">
        <f>IF(C118/3+6&lt;12,'Coûts Energies'!H20,IF(C118/3+6&lt;15,'Coûts Energies'!H21,IF(C118/3+6&lt;18,'Coûts Energies'!H22,IF(C118/3+6&lt;24,'Coûts Energies'!H23,IF(C118/3+6&lt;30,'Coûts Energies'!H24,'Coûts Energies'!H25)))))</f>
        <v>177.24</v>
      </c>
    </row>
    <row r="115" spans="2:16" x14ac:dyDescent="0.2">
      <c r="B115" s="51" t="s">
        <v>182</v>
      </c>
      <c r="C115">
        <f>VLOOKUP(C112,F4:AM99,24,FALSE)+D115*(Neuf!C32-19)</f>
        <v>67900</v>
      </c>
      <c r="D115">
        <f>VLOOKUP(C112,F4:AM99,23,FALSE)</f>
        <v>4900</v>
      </c>
      <c r="E115" t="s">
        <v>299</v>
      </c>
      <c r="G115">
        <f>IF(G114&lt;G112,'Coûts Energies'!H32,'Coûts Energies'!H33)</f>
        <v>250.53</v>
      </c>
      <c r="H115" t="s">
        <v>302</v>
      </c>
    </row>
    <row r="116" spans="2:16" x14ac:dyDescent="0.2">
      <c r="B116" t="s">
        <v>153</v>
      </c>
      <c r="C116">
        <f>VLOOKUP(D104,A104:C107,3,FALSE)</f>
        <v>0.9</v>
      </c>
      <c r="E116" t="s">
        <v>300</v>
      </c>
      <c r="G116">
        <f>IF(G114&lt;G112,'Coûts Energies'!D32,'Coûts Energies'!D33)</f>
        <v>6.37</v>
      </c>
      <c r="H116" t="s">
        <v>302</v>
      </c>
    </row>
    <row r="117" spans="2:16" x14ac:dyDescent="0.2">
      <c r="B117" t="s">
        <v>155</v>
      </c>
      <c r="C117">
        <f>Neuf!C26*Neuf!E26</f>
        <v>375</v>
      </c>
      <c r="D117" t="s">
        <v>196</v>
      </c>
    </row>
    <row r="118" spans="2:16" x14ac:dyDescent="0.2">
      <c r="B118" t="s">
        <v>156</v>
      </c>
      <c r="C118">
        <f>ROUND(C116*C117*(Neuf!C32-C114)/1000,1)</f>
        <v>10.1</v>
      </c>
      <c r="D118" t="s">
        <v>197</v>
      </c>
      <c r="E118" t="s">
        <v>301</v>
      </c>
      <c r="G118">
        <f>C122/C138/0.9</f>
        <v>27369.175627240144</v>
      </c>
      <c r="H118" t="s">
        <v>180</v>
      </c>
    </row>
    <row r="119" spans="2:16" x14ac:dyDescent="0.2">
      <c r="B119" t="s">
        <v>179</v>
      </c>
      <c r="C119">
        <f>ROUND(0.75*C116*C117*C115/1000/0.9*(Neuf!C32-C114)/(Neuf!C32-D112),0)</f>
        <v>19097</v>
      </c>
      <c r="D119" t="s">
        <v>180</v>
      </c>
      <c r="E119" t="s">
        <v>299</v>
      </c>
      <c r="G119">
        <f>IF(G118&lt;G112,'Coûts Energies'!H32,'Coûts Energies'!H33)</f>
        <v>250.53</v>
      </c>
      <c r="H119" t="s">
        <v>302</v>
      </c>
      <c r="O119" s="46"/>
      <c r="P119" s="46"/>
    </row>
    <row r="120" spans="2:16" x14ac:dyDescent="0.2">
      <c r="B120" t="s">
        <v>198</v>
      </c>
      <c r="C120">
        <f>VLOOKUP(I104,F104:H106,3,FALSE)</f>
        <v>50</v>
      </c>
      <c r="D120" t="s">
        <v>199</v>
      </c>
      <c r="E120" t="s">
        <v>300</v>
      </c>
      <c r="G120">
        <f>IF(G118&lt;G112,'Coûts Energies'!D32,'Coûts Energies'!D33)</f>
        <v>6.37</v>
      </c>
      <c r="H120" t="s">
        <v>302</v>
      </c>
      <c r="O120" s="46"/>
      <c r="P120" s="46"/>
    </row>
    <row r="121" spans="2:16" x14ac:dyDescent="0.2">
      <c r="B121" t="s">
        <v>181</v>
      </c>
      <c r="C121">
        <f>ROUND(Neuf!C29*C120*365/1000*1.16*45,0)</f>
        <v>3811</v>
      </c>
      <c r="D121" t="s">
        <v>180</v>
      </c>
      <c r="O121" s="46"/>
    </row>
    <row r="122" spans="2:16" x14ac:dyDescent="0.2">
      <c r="B122" t="s">
        <v>200</v>
      </c>
      <c r="C122">
        <f>C121+C119</f>
        <v>22908</v>
      </c>
      <c r="D122" t="s">
        <v>180</v>
      </c>
    </row>
    <row r="124" spans="2:16" x14ac:dyDescent="0.2">
      <c r="B124" s="50" t="s">
        <v>219</v>
      </c>
    </row>
    <row r="125" spans="2:16" x14ac:dyDescent="0.2">
      <c r="B125" t="s">
        <v>220</v>
      </c>
      <c r="C125">
        <v>10</v>
      </c>
      <c r="D125" t="s">
        <v>221</v>
      </c>
      <c r="E125" s="57">
        <f>C125/0.94</f>
        <v>10.638297872340425</v>
      </c>
      <c r="F125" t="s">
        <v>222</v>
      </c>
      <c r="G125">
        <f>E125*0.3</f>
        <v>3.1914893617021276</v>
      </c>
      <c r="H125" t="s">
        <v>223</v>
      </c>
    </row>
    <row r="126" spans="2:16" x14ac:dyDescent="0.2">
      <c r="B126" t="s">
        <v>224</v>
      </c>
      <c r="C126">
        <v>10</v>
      </c>
      <c r="D126" t="s">
        <v>221</v>
      </c>
      <c r="E126" s="57">
        <f>C126/0.9</f>
        <v>11.111111111111111</v>
      </c>
      <c r="F126" t="s">
        <v>222</v>
      </c>
      <c r="G126">
        <f>E126*0.23</f>
        <v>2.5555555555555554</v>
      </c>
      <c r="H126" t="s">
        <v>223</v>
      </c>
    </row>
    <row r="127" spans="2:16" x14ac:dyDescent="0.2">
      <c r="B127" t="s">
        <v>225</v>
      </c>
      <c r="C127">
        <v>12.8</v>
      </c>
      <c r="D127" t="s">
        <v>221</v>
      </c>
      <c r="E127" s="57">
        <f>C127/0.92</f>
        <v>13.913043478260869</v>
      </c>
      <c r="F127" t="s">
        <v>222</v>
      </c>
    </row>
    <row r="128" spans="2:16" x14ac:dyDescent="0.2">
      <c r="B128" t="s">
        <v>226</v>
      </c>
      <c r="C128">
        <v>4.8</v>
      </c>
      <c r="D128" t="s">
        <v>221</v>
      </c>
      <c r="E128" s="57"/>
    </row>
    <row r="129" spans="2:13" x14ac:dyDescent="0.2">
      <c r="B129" t="s">
        <v>227</v>
      </c>
      <c r="C129">
        <v>2000</v>
      </c>
      <c r="D129" t="s">
        <v>221</v>
      </c>
      <c r="F129" t="s">
        <v>228</v>
      </c>
      <c r="G129">
        <v>0.18</v>
      </c>
      <c r="H129" t="s">
        <v>223</v>
      </c>
    </row>
    <row r="131" spans="2:13" ht="38.25" x14ac:dyDescent="0.2">
      <c r="B131" s="60" t="s">
        <v>209</v>
      </c>
      <c r="C131" s="61" t="s">
        <v>183</v>
      </c>
      <c r="D131" s="70" t="s">
        <v>296</v>
      </c>
      <c r="E131" s="61" t="s">
        <v>234</v>
      </c>
      <c r="F131" s="61" t="s">
        <v>233</v>
      </c>
      <c r="G131" s="61" t="s">
        <v>232</v>
      </c>
      <c r="H131" s="61" t="s">
        <v>230</v>
      </c>
      <c r="I131" s="61" t="s">
        <v>231</v>
      </c>
      <c r="K131" s="61" t="s">
        <v>327</v>
      </c>
      <c r="L131" s="61" t="s">
        <v>328</v>
      </c>
      <c r="M131" s="61" t="s">
        <v>136</v>
      </c>
    </row>
    <row r="132" spans="2:13" ht="25.5" x14ac:dyDescent="0.2">
      <c r="B132" s="65" t="s">
        <v>241</v>
      </c>
      <c r="C132" s="58">
        <v>1</v>
      </c>
      <c r="D132">
        <f>J112-'Coûts Energies'!D20</f>
        <v>93.360000000000014</v>
      </c>
      <c r="E132" s="62">
        <f>C121/C132*'Coûts Energies'!H15/100</f>
        <v>468.75300000000004</v>
      </c>
      <c r="F132" s="63">
        <f>C119/C132*(1/3*'Coûts Energies'!H15+2/3*'Coûts Energies'!H14)/100+D132</f>
        <v>2887.887666666667</v>
      </c>
      <c r="G132" s="63">
        <f>E132+F132</f>
        <v>3356.6406666666671</v>
      </c>
      <c r="H132" s="63">
        <f>E132*(100-Neuf!$E$41)/100+F132</f>
        <v>3075.3888666666671</v>
      </c>
      <c r="I132" s="64">
        <f>E132*(100-Neuf!$E$41)/100+(F132-D132)*(100-Neuf!$G$41)/100+D132</f>
        <v>2516.4833333333336</v>
      </c>
      <c r="K132" s="72">
        <f>IF($N$104=1,E132,IF($N$104=2,H132-F132,IF($N$104=3,H132-F132)))</f>
        <v>468.75300000000004</v>
      </c>
      <c r="L132" s="72">
        <f>IF($N$104=1,F132,IF($N$104=2,F132,IF($N$104=3,(F132-D132)*(100-Rénovation!$G$47)/100+D132)))</f>
        <v>2887.887666666667</v>
      </c>
      <c r="M132" s="72">
        <f>K132+L132</f>
        <v>3356.6406666666671</v>
      </c>
    </row>
    <row r="133" spans="2:13" ht="25.5" x14ac:dyDescent="0.2">
      <c r="B133" s="65" t="s">
        <v>274</v>
      </c>
      <c r="C133" s="3">
        <v>3.5</v>
      </c>
      <c r="D133">
        <f>J113-'Coûts Energies'!D20</f>
        <v>71.04000000000002</v>
      </c>
      <c r="E133" s="62">
        <f>C121/C132*'Coûts Energies'!H15/100</f>
        <v>468.75300000000004</v>
      </c>
      <c r="F133" s="63">
        <f>C119/C133*(1/3*'Coûts Energies'!H15+2/3*'Coûts Energies'!H14)/100+D133</f>
        <v>869.47647619047621</v>
      </c>
      <c r="G133" s="63">
        <f>E133+F133</f>
        <v>1338.2294761904764</v>
      </c>
      <c r="H133" s="63">
        <f>E133*(100-Neuf!$E$41)/100+F133</f>
        <v>1056.9776761904764</v>
      </c>
      <c r="I133" s="64">
        <f>E133*(100-Neuf!$E$41)/100+(F133-D133)*(100-Neuf!$G$41)/100+D133</f>
        <v>897.29038095238116</v>
      </c>
      <c r="K133" s="72">
        <f t="shared" ref="K133:K142" si="10">IF($N$104=1,E133,IF($N$104=2,H133-F133,IF($N$104=3,H133-F133)))</f>
        <v>468.75300000000004</v>
      </c>
      <c r="L133" s="72">
        <f>IF($N$104=1,F133,IF($N$104=2,F133,IF($N$104=3,(F133-D133)*(100-Rénovation!$G$47)/100+D133)))</f>
        <v>869.47647619047621</v>
      </c>
      <c r="M133" s="72">
        <f t="shared" ref="M133:M142" si="11">K133+L133</f>
        <v>1338.2294761904764</v>
      </c>
    </row>
    <row r="134" spans="2:13" ht="25.5" x14ac:dyDescent="0.2">
      <c r="B134" s="65" t="s">
        <v>275</v>
      </c>
      <c r="C134" s="3">
        <v>4</v>
      </c>
      <c r="D134">
        <f>J114-'Coûts Energies'!D20</f>
        <v>46.920000000000016</v>
      </c>
      <c r="E134" s="62">
        <f>C121/C132*'Coûts Energies'!H15/100</f>
        <v>468.75300000000004</v>
      </c>
      <c r="F134" s="63">
        <f>C119/C134*(1/3*'Coûts Energies'!H15+2/3*'Coûts Energies'!H14)/100+D134</f>
        <v>745.55191666666678</v>
      </c>
      <c r="G134" s="63">
        <f>E134+F134</f>
        <v>1214.3049166666669</v>
      </c>
      <c r="H134" s="63">
        <f>E134*(100-Neuf!$E$41)/100+F134</f>
        <v>933.05311666666682</v>
      </c>
      <c r="I134" s="64">
        <f>E134*(100-Neuf!$E$41)/100+(F134-D134)*(100-Neuf!$G$41)/100+D134</f>
        <v>793.32673333333332</v>
      </c>
      <c r="K134" s="72">
        <f t="shared" si="10"/>
        <v>468.75300000000004</v>
      </c>
      <c r="L134" s="72">
        <f>IF($N$104=1,F134,IF($N$104=2,F134,IF($N$104=3,(F134-D134)*(100-Rénovation!$G$47)/100+D134)))</f>
        <v>745.55191666666678</v>
      </c>
      <c r="M134" s="72">
        <f t="shared" si="11"/>
        <v>1214.3049166666669</v>
      </c>
    </row>
    <row r="135" spans="2:13" ht="25.5" x14ac:dyDescent="0.2">
      <c r="B135" s="65" t="s">
        <v>236</v>
      </c>
      <c r="C135" s="58">
        <v>0.85</v>
      </c>
      <c r="D135">
        <v>0</v>
      </c>
      <c r="E135" s="62">
        <f>C121/C135/C129*'Coûts Energies'!D56</f>
        <v>156.92352941176472</v>
      </c>
      <c r="F135" s="63">
        <f>C119/C135/C129*'Coûts Energies'!D56+D135</f>
        <v>786.34705882352944</v>
      </c>
      <c r="G135" s="63">
        <f>E135+F135</f>
        <v>943.2705882352941</v>
      </c>
      <c r="H135" s="63">
        <f>E135*(100-Neuf!$E$41)/100+F135</f>
        <v>849.1164705882353</v>
      </c>
      <c r="I135" s="64">
        <f>E135*(100-Neuf!$E$41)/100+(F135-D135)*(100-Neuf!$G$41)/100+D135</f>
        <v>691.84705882352944</v>
      </c>
      <c r="K135" s="72">
        <f t="shared" si="10"/>
        <v>156.92352941176472</v>
      </c>
      <c r="L135" s="72">
        <f>IF($N$104=1,F135,IF($N$104=2,F135,IF($N$104=3,(F135-D135)*(100-Rénovation!$G$47)/100+D135)))</f>
        <v>786.34705882352944</v>
      </c>
      <c r="M135" s="72">
        <f t="shared" si="11"/>
        <v>943.2705882352941</v>
      </c>
    </row>
    <row r="136" spans="2:13" ht="25.5" x14ac:dyDescent="0.2">
      <c r="B136" s="65" t="s">
        <v>237</v>
      </c>
      <c r="C136" s="58">
        <v>0.85</v>
      </c>
      <c r="D136">
        <v>0</v>
      </c>
      <c r="E136" s="62">
        <f>C121/C136/C128/1000*'Coûts Energies'!H56</f>
        <v>259.85789215686276</v>
      </c>
      <c r="F136" s="63">
        <f>C119/C136/C128/1000*'Coûts Energies'!H56+D136</f>
        <v>1302.1532843137256</v>
      </c>
      <c r="G136" s="63">
        <f>E136+F136</f>
        <v>1562.0111764705885</v>
      </c>
      <c r="H136" s="63">
        <f>E136*(100-Neuf!$E$41)/100+F136</f>
        <v>1406.0964411764708</v>
      </c>
      <c r="I136" s="64">
        <f>E136*(100-Neuf!$E$41)/100+(F136-D136)*(100-Neuf!$G$41)/100+D136</f>
        <v>1145.6657843137257</v>
      </c>
      <c r="K136" s="72">
        <f t="shared" si="10"/>
        <v>259.85789215686276</v>
      </c>
      <c r="L136" s="72">
        <f>IF($N$104=1,F136,IF($N$104=2,F136,IF($N$104=3,(F136-D136)*(100-Rénovation!$G$47)/100+D136)))</f>
        <v>1302.1532843137256</v>
      </c>
      <c r="M136" s="72">
        <f t="shared" si="11"/>
        <v>1562.0111764705885</v>
      </c>
    </row>
    <row r="137" spans="2:13" ht="25.5" x14ac:dyDescent="0.2">
      <c r="B137" s="65" t="s">
        <v>238</v>
      </c>
      <c r="C137" s="58">
        <v>1.0900000000000001</v>
      </c>
      <c r="D137">
        <f>G115</f>
        <v>250.53</v>
      </c>
      <c r="E137" s="62">
        <f>C121/C137*G116/0.9/100</f>
        <v>247.46248725790008</v>
      </c>
      <c r="F137" s="63">
        <f>C119/C137*G116/0.9/100+D137</f>
        <v>1490.5696534148826</v>
      </c>
      <c r="G137" s="63">
        <f t="shared" ref="G137:G142" si="12">E137+F137</f>
        <v>1738.0321406727826</v>
      </c>
      <c r="H137" s="63">
        <f>E137*(100-Neuf!$E$41)/100+F137</f>
        <v>1589.5546483180426</v>
      </c>
      <c r="I137" s="64">
        <f>E137*(100-Neuf!$E$41)/100+(F137-D137)*(100-Neuf!$G$41)/100+D137</f>
        <v>1341.546717635066</v>
      </c>
      <c r="K137" s="72">
        <f t="shared" si="10"/>
        <v>247.46248725790008</v>
      </c>
      <c r="L137" s="72">
        <f>IF($N$104=1,F137,IF($N$104=2,F137,IF($N$104=3,(F137-D137)*(100-Rénovation!$G$47)/100+D137)))</f>
        <v>1490.5696534148826</v>
      </c>
      <c r="M137" s="72">
        <f t="shared" si="11"/>
        <v>1738.0321406727826</v>
      </c>
    </row>
    <row r="138" spans="2:13" x14ac:dyDescent="0.2">
      <c r="B138" s="59" t="s">
        <v>177</v>
      </c>
      <c r="C138" s="58">
        <v>0.93</v>
      </c>
      <c r="D138">
        <f>G119</f>
        <v>250.53</v>
      </c>
      <c r="E138" s="62">
        <f>C121/C138*G120/0.9/100</f>
        <v>290.03667861409792</v>
      </c>
      <c r="F138" s="63">
        <f>C119/C138*G120/0.9/100+D138</f>
        <v>1703.9098088410992</v>
      </c>
      <c r="G138" s="63">
        <f t="shared" si="12"/>
        <v>1993.9464874551973</v>
      </c>
      <c r="H138" s="63">
        <f>E138*(100-Neuf!$E$41)/100+F138</f>
        <v>1819.9244802867383</v>
      </c>
      <c r="I138" s="64">
        <f>E138*(100-Neuf!$E$41)/100+(F138-D138)*(100-Neuf!$G$41)/100+D138</f>
        <v>1529.2485185185185</v>
      </c>
      <c r="K138" s="72">
        <f t="shared" si="10"/>
        <v>290.03667861409792</v>
      </c>
      <c r="L138" s="72">
        <f>IF($N$104=1,F138,IF($N$104=2,F138,IF($N$104=3,(F138-D138)*(100-Rénovation!$G$47)/100+D138)))</f>
        <v>1703.9098088410992</v>
      </c>
      <c r="M138" s="72">
        <f t="shared" si="11"/>
        <v>1993.9464874551973</v>
      </c>
    </row>
    <row r="139" spans="2:13" ht="25.5" x14ac:dyDescent="0.2">
      <c r="B139" s="65" t="s">
        <v>239</v>
      </c>
      <c r="C139" s="58">
        <v>1.04</v>
      </c>
      <c r="D139">
        <v>0</v>
      </c>
      <c r="E139" s="62">
        <f>C121/C139*'Coûts Energies'!D40/100</f>
        <v>341.89067307692306</v>
      </c>
      <c r="F139" s="63">
        <f>C119/C139*'Coûts Energies'!D40/100+D139</f>
        <v>1713.2212500000001</v>
      </c>
      <c r="G139" s="63">
        <f t="shared" si="12"/>
        <v>2055.1119230769232</v>
      </c>
      <c r="H139" s="63">
        <f>E139*(100-Neuf!$E$41)/100+F139</f>
        <v>1849.9775192307693</v>
      </c>
      <c r="I139" s="64">
        <f>E139*(100-Neuf!$E$41)/100+(F139-D139)*(100-Neuf!$G$41)/100+D139</f>
        <v>1507.3332692307695</v>
      </c>
      <c r="K139" s="72">
        <f t="shared" si="10"/>
        <v>341.89067307692306</v>
      </c>
      <c r="L139" s="72">
        <f>IF($N$104=1,F139,IF($N$104=2,F139,IF($N$104=3,(F139-D139)*(100-Rénovation!$G$47)/100+D139)))</f>
        <v>1713.2212500000001</v>
      </c>
      <c r="M139" s="72">
        <f t="shared" si="11"/>
        <v>2055.1119230769232</v>
      </c>
    </row>
    <row r="140" spans="2:13" x14ac:dyDescent="0.2">
      <c r="B140" s="59" t="s">
        <v>176</v>
      </c>
      <c r="C140" s="58">
        <v>0.93</v>
      </c>
      <c r="D140">
        <v>0</v>
      </c>
      <c r="E140" s="62">
        <f>C121/C140*'Coûts Energies'!D40/100</f>
        <v>382.32935483870972</v>
      </c>
      <c r="F140" s="63">
        <f>C119/C140*'Coûts Energies'!D40/100+D140</f>
        <v>1915.8603225806448</v>
      </c>
      <c r="G140" s="63">
        <f t="shared" si="12"/>
        <v>2298.1896774193547</v>
      </c>
      <c r="H140" s="63">
        <f>E140*(100-Neuf!$E$41)/100+F140</f>
        <v>2068.7920645161289</v>
      </c>
      <c r="I140" s="64">
        <f>E140*(100-Neuf!$E$41)/100+(F140-D140)*(100-Neuf!$G$41)/100+D140</f>
        <v>1685.6199999999997</v>
      </c>
      <c r="K140" s="72">
        <f t="shared" si="10"/>
        <v>382.32935483870972</v>
      </c>
      <c r="L140" s="72">
        <f>IF($N$104=1,F140,IF($N$104=2,F140,IF($N$104=3,(F140-D140)*(100-Rénovation!$G$47)/100+D140)))</f>
        <v>1915.8603225806448</v>
      </c>
      <c r="M140" s="72">
        <f t="shared" si="11"/>
        <v>2298.1896774193547</v>
      </c>
    </row>
    <row r="141" spans="2:13" ht="25.5" x14ac:dyDescent="0.2">
      <c r="B141" s="65" t="s">
        <v>240</v>
      </c>
      <c r="C141" s="58">
        <v>1.07</v>
      </c>
      <c r="D141">
        <v>0</v>
      </c>
      <c r="E141" s="62">
        <f>C121/C141*'Coûts Energies'!D48/100</f>
        <v>527.12897196261679</v>
      </c>
      <c r="F141" s="63">
        <f>C119/C141*'Coûts Energies'!D48/100+D141</f>
        <v>2641.4542056074761</v>
      </c>
      <c r="G141" s="63">
        <f t="shared" si="12"/>
        <v>3168.5831775700926</v>
      </c>
      <c r="H141" s="63">
        <f>E141*(100-Neuf!$E$41)/100+F141</f>
        <v>2852.3057943925228</v>
      </c>
      <c r="I141" s="64">
        <f>E141*(100-Neuf!$E$41)/100+(F141-D141)*(100-Neuf!$G$41)/100+D141</f>
        <v>2324.0149532710275</v>
      </c>
      <c r="K141" s="72">
        <f t="shared" si="10"/>
        <v>527.12897196261679</v>
      </c>
      <c r="L141" s="72">
        <f>IF($N$104=1,F141,IF($N$104=2,F141,IF($N$104=3,(F141-D141)*(100-Rénovation!$G$47)/100+D141)))</f>
        <v>2641.4542056074761</v>
      </c>
      <c r="M141" s="72">
        <f t="shared" si="11"/>
        <v>3168.5831775700926</v>
      </c>
    </row>
    <row r="142" spans="2:13" x14ac:dyDescent="0.2">
      <c r="B142" s="59" t="s">
        <v>178</v>
      </c>
      <c r="C142" s="58">
        <v>0.93</v>
      </c>
      <c r="D142">
        <v>0</v>
      </c>
      <c r="E142" s="62">
        <f>C121/C142*'Coûts Energies'!D48/100</f>
        <v>606.48172043010754</v>
      </c>
      <c r="F142" s="63">
        <f>C119/C142*'Coûts Energies'!D48/100+D142</f>
        <v>3039.0924731182795</v>
      </c>
      <c r="G142" s="63">
        <f t="shared" si="12"/>
        <v>3645.574193548387</v>
      </c>
      <c r="H142" s="63">
        <f>E142*(100-Neuf!$E$41)/100+F142</f>
        <v>3281.6851612903224</v>
      </c>
      <c r="I142" s="64">
        <f>E142*(100-Neuf!$E$41)/100+(F142-D142)*(100-Neuf!$G$41)/100+D142</f>
        <v>2673.8666666666663</v>
      </c>
      <c r="K142" s="72">
        <f t="shared" si="10"/>
        <v>606.48172043010754</v>
      </c>
      <c r="L142" s="72">
        <f>IF($N$104=1,F142,IF($N$104=2,F142,IF($N$104=3,(F142-D142)*(100-Rénovation!$G$47)/100+D142)))</f>
        <v>3039.0924731182795</v>
      </c>
      <c r="M142" s="72">
        <f t="shared" si="11"/>
        <v>3645.574193548387</v>
      </c>
    </row>
    <row r="143" spans="2:13" x14ac:dyDescent="0.2">
      <c r="K143" s="72"/>
      <c r="M143" s="72"/>
    </row>
  </sheetData>
  <mergeCells count="1">
    <mergeCell ref="AD2:AE2"/>
  </mergeCells>
  <phoneticPr fontId="3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23</vt:i4>
      </vt:variant>
    </vt:vector>
  </HeadingPairs>
  <TitlesOfParts>
    <vt:vector size="28" baseType="lpstr">
      <vt:lpstr>Rénovation</vt:lpstr>
      <vt:lpstr>Neuf</vt:lpstr>
      <vt:lpstr>Coûts Energies</vt:lpstr>
      <vt:lpstr>calculs réno</vt:lpstr>
      <vt:lpstr>calculs neuf</vt:lpstr>
      <vt:lpstr>'calculs réno'!Altitude</vt:lpstr>
      <vt:lpstr>Altitude</vt:lpstr>
      <vt:lpstr>'calculs réno'!appoint</vt:lpstr>
      <vt:lpstr>appoint</vt:lpstr>
      <vt:lpstr>'calculs réno'!cesi</vt:lpstr>
      <vt:lpstr>cesi</vt:lpstr>
      <vt:lpstr>'calculs réno'!chaudiere</vt:lpstr>
      <vt:lpstr>chaudiere</vt:lpstr>
      <vt:lpstr>'calculs réno'!consoecs</vt:lpstr>
      <vt:lpstr>consoecs</vt:lpstr>
      <vt:lpstr>'calculs réno'!Département</vt:lpstr>
      <vt:lpstr>Département</vt:lpstr>
      <vt:lpstr>'calculs réno'!pac</vt:lpstr>
      <vt:lpstr>pac</vt:lpstr>
      <vt:lpstr>solaire</vt:lpstr>
      <vt:lpstr>'calculs réno'!type</vt:lpstr>
      <vt:lpstr>type</vt:lpstr>
      <vt:lpstr>typechaud</vt:lpstr>
      <vt:lpstr>typeecs</vt:lpstr>
      <vt:lpstr>typeenergie</vt:lpstr>
      <vt:lpstr>'Coûts Energies'!Zone_d_impression</vt:lpstr>
      <vt:lpstr>Neuf!Zone_d_impression</vt:lpstr>
      <vt:lpstr>Rénovation!Zone_d_impression</vt:lpstr>
    </vt:vector>
  </TitlesOfParts>
  <Company>De Dietrich Thermique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2007-08-02T09:21:36Z</cp:lastPrinted>
  <dcterms:created xsi:type="dcterms:W3CDTF">2004-09-16T05:01:12Z</dcterms:created>
  <dcterms:modified xsi:type="dcterms:W3CDTF">2019-01-14T13:03:39Z</dcterms:modified>
</cp:coreProperties>
</file>